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80" windowHeight="8235" activeTab="0"/>
  </bookViews>
  <sheets>
    <sheet name="Лист2" sheetId="1" r:id="rId1"/>
    <sheet name="Лист3" sheetId="2" r:id="rId2"/>
  </sheets>
  <definedNames>
    <definedName name="_xlnm.Print_Titles" localSheetId="0">'Лист2'!$5:$8</definedName>
  </definedNames>
  <calcPr fullCalcOnLoad="1"/>
</workbook>
</file>

<file path=xl/sharedStrings.xml><?xml version="1.0" encoding="utf-8"?>
<sst xmlns="http://schemas.openxmlformats.org/spreadsheetml/2006/main" count="434" uniqueCount="184">
  <si>
    <t>Показатели</t>
  </si>
  <si>
    <t>Единица измерения</t>
  </si>
  <si>
    <t xml:space="preserve">Отчет[i] </t>
  </si>
  <si>
    <t>Оценка </t>
  </si>
  <si>
    <t>Прогноз</t>
  </si>
  <si>
    <t>1-й вариант</t>
  </si>
  <si>
    <t>1. Демографические показатели</t>
  </si>
  <si>
    <t>Численность населения (среднегодовая) -всего</t>
  </si>
  <si>
    <t>тыс.</t>
  </si>
  <si>
    <t>человек</t>
  </si>
  <si>
    <t>в % к предыдущему году</t>
  </si>
  <si>
    <t xml:space="preserve">      в том числе:</t>
  </si>
  <si>
    <t xml:space="preserve">   городского</t>
  </si>
  <si>
    <t>тыс.человек</t>
  </si>
  <si>
    <t xml:space="preserve">   сельского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</si>
  <si>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</si>
  <si>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</si>
  <si>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</si>
  <si>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миграционного прироста</t>
  </si>
  <si>
    <t>2. Производство товаров и услуг</t>
  </si>
  <si>
    <t> 2.1 Промышленное производство</t>
  </si>
  <si>
    <t> Индекс промышленного производства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</si>
  <si>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</si>
  <si>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– Раздел С: Добыча полезных ископаемых</t>
  </si>
  <si>
    <t>млн.рублей в ценах соответствующих лет</t>
  </si>
  <si>
    <t xml:space="preserve">Индекс производства – Раздел С: Добыча полезных ископаемых </t>
  </si>
  <si>
    <t>Индекс – дефлятор – Раздел С: Добыча полезных ископаемых</t>
  </si>
  <si>
    <t>Объем отгруженных товаров собственного производства, выполненных работ и услуг собственными силами –Подраздел СВ: Добыча полезных ископаемых, кроме топливно-энергетических</t>
  </si>
  <si>
    <t>Индекс производства –Подраздел СВ: Добыча полезных ископаемых, кроме топливно-энергетических</t>
  </si>
  <si>
    <t>Индекс - дефлятор– Подраздел СВ: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</si>
  <si>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</si>
  <si>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– Раздел D: Обрабатывающие производства</t>
  </si>
  <si>
    <t>Индекс производства – Раздел D: Обрабатывающие производства</t>
  </si>
  <si>
    <t>Индекс – дефлятор –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</si>
  <si>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– Подраздел DA: Производство пищевых продуктов, включая напитки и табак</t>
  </si>
  <si>
    <t>Индекс производства - Подраздел DA: Производство пищевых продуктов, включая напитки и табак</t>
  </si>
  <si>
    <t>Индекс - дефлятор - Подраздел DA: Производство пищевых продуктов, включая напитки и табак</t>
  </si>
  <si>
    <t>Объем отгруженных товаров собственного производства, выполненных работ и услуг собственными силами – Подраздел DВ: Текстильное и швейное производство</t>
  </si>
  <si>
    <t>Индекс производства - Подраздел DВ: Текстильное и швейное производство</t>
  </si>
  <si>
    <t>Индекс - дефлятор - Подраздел DВ: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</si>
  <si>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– Подраздел DС: Производство кожи и производство обуви</t>
  </si>
  <si>
    <t>Индекс производства - Подраздел DС: Производство кожи и производство обуви</t>
  </si>
  <si>
    <t>Индекс – дефлятор - Подраздел DС: Производство кожи и производство обуви</t>
  </si>
  <si>
    <t>в % к предыдущему</t>
  </si>
  <si>
    <t>году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</si>
  <si>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</si>
  <si>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</si>
  <si>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</si>
  <si>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– Подраздел DЕ: Целлюлозно-бумажное производство, издательская и полиграфическая деятельность</t>
  </si>
  <si>
    <t>Индекс производства - Подраздел DЕ: Целлюлозно-бумажное производство, издательская и полиграфическая деятельность</t>
  </si>
  <si>
    <t>Индекс – дефлятор - Подраздел DЕ: Целлюлозно-бумажное производство,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</si>
  <si>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– Подраздел DG: Химическое производство</t>
  </si>
  <si>
    <t>Индекс производства - Подраздел DG: Химическое производство</t>
  </si>
  <si>
    <t>Индекс – дефлятор -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</si>
  <si>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</si>
  <si>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Подраздел DH: Производство резиновых и пластмассовых изделий</t>
  </si>
  <si>
    <t>Индекс – дефлятор -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</si>
  <si>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– Подраздел DI: Производство прочих неметаллических минеральных продуктов</t>
  </si>
  <si>
    <t>Индекс производства - Подраздел DI: Производство прочих неметаллических минеральных продуктов</t>
  </si>
  <si>
    <t>Индекс – дефлятор - Подраздел DI: Производство прочих неметаллических минеральных продуктов</t>
  </si>
  <si>
    <t xml:space="preserve"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 </t>
  </si>
  <si>
    <t xml:space="preserve">Индекс производства - Подраздел DJ: Металлургическое производство и производство готовых металлических изделий </t>
  </si>
  <si>
    <t>Индекс – дефлятор -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</si>
  <si>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силами: Производство машин и оборудования без производства оружия и боеприпасов</t>
  </si>
  <si>
    <t>Индекс производства: Производство машин и оборудования без производства оружия и боеприпасов</t>
  </si>
  <si>
    <t>Индекс – дефлятор: Производство машин и оборудования без производства оружия и боеприпасов</t>
  </si>
  <si>
    <t xml:space="preserve">Объем отгруженных товаров собственного производства, выполненных работ и услуг собственными силами – Подраздел DL:  Производство  электрооборудования, электронного и оптического оборудования  </t>
  </si>
  <si>
    <t xml:space="preserve">Индекс производства - Подраздел DL:  Производство  электрооборудования, электронного и оптического оборудования  </t>
  </si>
  <si>
    <t xml:space="preserve">Индекс – дефлятор - Подраздел DL:  Производство  электрооборудования, электронного и оптического оборудования  </t>
  </si>
  <si>
    <t xml:space="preserve">Объем отгруженных товаров собственного производства, выполненных работ и услуг собственными силами – Подраздел DM: Производство транспортных средств и оборудования </t>
  </si>
  <si>
    <t>Индекс производства - Подраздел DM: Производство транспортных средств и оборудования</t>
  </si>
  <si>
    <t>Индекс – 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</si>
  <si>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– Подраздел DN: Прочие производства</t>
  </si>
  <si>
    <t>Индекс производства - Подраздел DN: Прочие производства</t>
  </si>
  <si>
    <t>Индекс – дефлятор - 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</si>
  <si>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</si>
  <si>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– Раздел Е: Производство и распределение электроэнергии, газа и воды</t>
  </si>
  <si>
    <t>Индекс производства - Раздел Е: Производство и распределение электроэнергии, газа и воды</t>
  </si>
  <si>
    <t>Индекс – дефлятор - Раздел Е: Производство и распределение электроэнергии, газа и воды</t>
  </si>
  <si>
    <t xml:space="preserve">Объем отгруженных товаров собственного производства, выполненных работ и услуг собственными силами - РАЗДЕЛ B: Рыболовство </t>
  </si>
  <si>
    <t>Индекс производства -  РАЗДЕЛ B: Рыболовство</t>
  </si>
  <si>
    <t>Индекс – дефлятор -  РАЗДЕЛ B: Рыболовство</t>
  </si>
  <si>
    <t>2.2 Сельское хозяйство</t>
  </si>
  <si>
    <t>Объем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</si>
  <si>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</si>
  <si>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 – дефлятор - продукции сельского хозяйства в хозяйствах всех категорий</t>
  </si>
  <si>
    <t>в том числе:</t>
  </si>
  <si>
    <t>Растениеводство</t>
  </si>
  <si>
    <t>Индекс производства продукции растениеводства</t>
  </si>
  <si>
    <t>% к предыдущему году</t>
  </si>
  <si>
    <t>Индекс - дефлятор продукции растениеводства</t>
  </si>
  <si>
    <t>Животноводство</t>
  </si>
  <si>
    <t>Индекс производства продукции животноводства</t>
  </si>
  <si>
    <t>Индекс – дефлятор продукции животноводства</t>
  </si>
  <si>
    <t>3. Рынок товаров и услуг</t>
  </si>
  <si>
    <t>Оборот розничной торговли</t>
  </si>
  <si>
    <t>Индекс физического объема оборота розничной торговли</t>
  </si>
  <si>
    <t>Индекс-дефлятор оборота розничной торговли</t>
  </si>
  <si>
    <t>Оборот общественного питания</t>
  </si>
  <si>
    <t>Индекс физического объема оборота общественного питания</t>
  </si>
  <si>
    <t>Индекс цен на продукцию общественного питания</t>
  </si>
  <si>
    <t>Объем платных услуг населению</t>
  </si>
  <si>
    <t>Индекс физического объема платных услуг населению</t>
  </si>
  <si>
    <t>Индекс-дефлятор по платным услугам</t>
  </si>
  <si>
    <t>бытовые услуги</t>
  </si>
  <si>
    <t>индекс физического объема</t>
  </si>
  <si>
    <t>% к предыдущему году в сопоставимых ценах</t>
  </si>
  <si>
    <t>4. Малое и среднее предпринимательство</t>
  </si>
  <si>
    <t>Количество малых предприятий – всего по состоянию на конец года</t>
  </si>
  <si>
    <t>единиц</t>
  </si>
  <si>
    <t>Среднесписочная численность работников (без внешних совместителей) по малым предприятиям - всего</t>
  </si>
  <si>
    <t>Численность индивидуальных предпринимателей</t>
  </si>
  <si>
    <t xml:space="preserve">Среднесписочная численность работников индивидуальных предпринимателей </t>
  </si>
  <si>
    <t>Количество средних предприятий – всего</t>
  </si>
  <si>
    <t>Среднесписочная численность работников (без внешних совместителей) по средним предприятиям - всего</t>
  </si>
  <si>
    <t>5. Инвестиции и строительство</t>
  </si>
  <si>
    <t>Объем инвестиций (в основной капитал) за счет всех источников финансирования - всего</t>
  </si>
  <si>
    <t> Индекс физического объема</t>
  </si>
  <si>
    <t>Индекс-дефлятор</t>
  </si>
  <si>
    <t>Инвестиции в основной капитал  по источникам финансирования:</t>
  </si>
  <si>
    <t xml:space="preserve">     бюджетные средства</t>
  </si>
  <si>
    <t>в % к предыдущему году в сопоставимых ценах</t>
  </si>
  <si>
    <t xml:space="preserve">             из них:</t>
  </si>
  <si>
    <t xml:space="preserve">   средства федерального бюджета</t>
  </si>
  <si>
    <t xml:space="preserve">   средства бюджета субъекта Федерации</t>
  </si>
  <si>
    <t xml:space="preserve">   средства муниципального бюджета</t>
  </si>
  <si>
    <t xml:space="preserve">   собственные средства предприятий</t>
  </si>
  <si>
    <r>
      <t>Объем выполненных работ по виду деятельности «Строительство»</t>
    </r>
    <r>
      <rPr>
        <sz val="14"/>
        <rFont val="Times New Roman"/>
        <family val="1"/>
      </rPr>
      <t xml:space="preserve"> </t>
    </r>
  </si>
  <si>
    <t>Индекс физического объема</t>
  </si>
  <si>
    <t>6. Сальдированный финансовый результат (прибыль, убыток) деятельности крупных и средних предприятий</t>
  </si>
  <si>
    <t>7. Труд и занятость</t>
  </si>
  <si>
    <t xml:space="preserve">Численность населения в трудоспособном возрасте </t>
  </si>
  <si>
    <t>Численность безработных, зарегистрированных в службах занятости, в среднем за год</t>
  </si>
  <si>
    <t>Уровень безработицы (к трудоспособному населению)</t>
  </si>
  <si>
    <t>%</t>
  </si>
  <si>
    <t>Среднесписочная численность работников организаций  - всего</t>
  </si>
  <si>
    <t>8. Развитие социальной сферы</t>
  </si>
  <si>
    <t> Численность детей в дошкольных образовательных учреждениях</t>
  </si>
  <si>
    <t> 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</si>
  <si>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</si>
  <si>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</si>
  <si>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</si>
  <si>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</si>
  <si>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Численность медицинских работников:</t>
  </si>
  <si>
    <t> врачей общей практики</t>
  </si>
  <si>
    <t>Обеспеченность:</t>
  </si>
  <si>
    <t>больничными койками</t>
  </si>
  <si>
    <t>коек на 10 тыс. населения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</si>
  <si>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</si>
  <si>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</si>
  <si>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</si>
  <si>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человек на 10 тыс. населения</t>
  </si>
  <si>
    <t>средним медицинским персоналом</t>
  </si>
  <si>
    <t>общедоступными  библиотеками</t>
  </si>
  <si>
    <t>учреждений на</t>
  </si>
  <si>
    <t>100 тыс.населения</t>
  </si>
  <si>
    <t>учреждениями культурно-досугового типа</t>
  </si>
  <si>
    <t>дошкольными образовательными учреждениями</t>
  </si>
  <si>
    <t>Ввод в эксплуатацию жилых домов за счет всех источников финансирования</t>
  </si>
  <si>
    <t>Средняя обеспеченность населения площадью жилых квартир</t>
  </si>
  <si>
    <t>кв.м на человека</t>
  </si>
  <si>
    <t>Площадь ветхого и аварийного фонда в % к общей площади жилого фонда</t>
  </si>
  <si>
    <t>Фактический уровень платежей населения за жилье и коммунальные услуги</t>
  </si>
  <si>
    <t xml:space="preserve">Общее число семей, получивших субсидии на оплату жилого помещения и коммунальных услуг </t>
  </si>
  <si>
    <t>-</t>
  </si>
  <si>
    <t xml:space="preserve">Коэффициент естественного прироста                                 </t>
  </si>
  <si>
    <t>Среднемесячная номинальная заработная плата</t>
  </si>
  <si>
    <t>рублей</t>
  </si>
  <si>
    <t>тыс.кв. м общей площади</t>
  </si>
  <si>
    <t>Форма 2-П_муниц</t>
  </si>
  <si>
    <t> врачей-терапевтов</t>
  </si>
  <si>
    <t xml:space="preserve"> врачей-педиаторов </t>
  </si>
  <si>
    <t>численность на конец года</t>
  </si>
  <si>
    <t>кол-во коек</t>
  </si>
  <si>
    <t>врачи</t>
  </si>
  <si>
    <t>посещений в смену</t>
  </si>
  <si>
    <t>сред.мед.персонал</t>
  </si>
  <si>
    <t>кол-во  библиотек</t>
  </si>
  <si>
    <t>культ.досуг</t>
  </si>
  <si>
    <t>общая площадь жилья</t>
  </si>
  <si>
    <t>ветхого и аварийного</t>
  </si>
  <si>
    <t xml:space="preserve">Основные показатели прогноза социально-экономического развития  </t>
  </si>
  <si>
    <t>городского поселения Зеленоборский на 2015 год и на период до 2017 года</t>
  </si>
  <si>
    <t>Приложение4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</si>
</sst>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_)"/>
    <numFmt numFmtId="175" formatCode="0.00000000"/>
    <numFmt numFmtId="176" formatCode="0.0E+00"/>
    <numFmt numFmtId="177" formatCode="0E+00"/>
    <numFmt numFmtId="178" formatCode="0.000E+00"/>
    <numFmt numFmtId="179" formatCode="0.0000E+00"/>
    <numFmt numFmtId="180" formatCode="0.00000E+00"/>
    <numFmt numFmtId="181" formatCode="#,##0.00000"/>
    <numFmt numFmtId="182" formatCode="0.000000000"/>
    <numFmt numFmtId="183" formatCode="#,##0.0"/>
    <numFmt numFmtId="184" formatCode="0.0000000000"/>
    <numFmt numFmtId="185" formatCode="0.00_)"/>
    <numFmt numFmtId="186" formatCode="0.000_)"/>
    <numFmt numFmtId="187" formatCode="0.0000_)"/>
    <numFmt numFmtId="188" formatCode="0.00000_)"/>
    <numFmt numFmtId="189" formatCode="0.000000_)"/>
    <numFmt numFmtId="190" formatCode="0.0000000_)"/>
  </numFmts>
  <fonts count="5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6"/>
      <color indexed="8"/>
      <name val="Times New Roman"/>
      <family val="2"/>
    </font>
    <font>
      <b/>
      <sz val="14"/>
      <name val="Times New Roman"/>
      <family val="1"/>
    </font>
    <font>
      <b/>
      <sz val="12"/>
      <name val="Arial Cyr"/>
      <family val="0"/>
    </font>
    <font>
      <sz val="11"/>
      <name val="Arial"/>
      <family val="2"/>
    </font>
    <font>
      <u val="single"/>
      <sz val="10"/>
      <name val="Arial Cyr"/>
      <family val="0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0" fontId="1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73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173" fontId="1" fillId="0" borderId="15" xfId="0" applyNumberFormat="1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173" fontId="3" fillId="0" borderId="16" xfId="0" applyNumberFormat="1" applyFont="1" applyFill="1" applyBorder="1" applyAlignment="1">
      <alignment horizontal="center" vertical="center"/>
    </xf>
    <xf numFmtId="173" fontId="16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vertical="top" wrapText="1"/>
    </xf>
    <xf numFmtId="0" fontId="1" fillId="35" borderId="15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/>
    </xf>
    <xf numFmtId="0" fontId="3" fillId="34" borderId="12" xfId="0" applyFont="1" applyFill="1" applyBorder="1" applyAlignment="1">
      <alignment vertical="top" wrapText="1"/>
    </xf>
    <xf numFmtId="173" fontId="4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174" fontId="16" fillId="0" borderId="16" xfId="0" applyNumberFormat="1" applyFont="1" applyBorder="1" applyAlignment="1">
      <alignment horizontal="center" vertical="center" wrapText="1"/>
    </xf>
    <xf numFmtId="190" fontId="16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/>
    </xf>
    <xf numFmtId="173" fontId="10" fillId="0" borderId="16" xfId="0" applyNumberFormat="1" applyFont="1" applyBorder="1" applyAlignment="1">
      <alignment horizontal="center" vertical="center"/>
    </xf>
    <xf numFmtId="173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183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8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6" xfId="0" applyNumberFormat="1" applyFont="1" applyFill="1" applyBorder="1" applyAlignment="1">
      <alignment horizontal="center" vertical="center"/>
    </xf>
    <xf numFmtId="18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 applyProtection="1">
      <alignment horizontal="center" vertical="center"/>
      <protection/>
    </xf>
    <xf numFmtId="173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Fill="1" applyBorder="1" applyAlignment="1" applyProtection="1">
      <alignment horizontal="center" vertical="center"/>
      <protection/>
    </xf>
    <xf numFmtId="173" fontId="3" fillId="35" borderId="16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53" applyFont="1" applyFill="1" applyBorder="1" applyAlignment="1">
      <alignment horizontal="center" vertical="center" wrapText="1"/>
      <protection/>
    </xf>
    <xf numFmtId="1" fontId="3" fillId="0" borderId="16" xfId="53" applyNumberFormat="1" applyFont="1" applyFill="1" applyBorder="1" applyAlignment="1">
      <alignment horizontal="center" vertical="center" wrapText="1"/>
      <protection/>
    </xf>
    <xf numFmtId="173" fontId="3" fillId="0" borderId="16" xfId="0" applyNumberFormat="1" applyFont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3" fontId="3" fillId="33" borderId="16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3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83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>
      <alignment horizontal="center" vertical="center" wrapText="1"/>
    </xf>
    <xf numFmtId="173" fontId="3" fillId="34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15" fillId="0" borderId="0" xfId="42" applyFont="1" applyAlignment="1" applyProtection="1">
      <alignment/>
      <protection/>
    </xf>
    <xf numFmtId="173" fontId="17" fillId="0" borderId="16" xfId="0" applyNumberFormat="1" applyFont="1" applyBorder="1" applyAlignment="1">
      <alignment horizontal="left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3" fontId="3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 horizontal="center"/>
    </xf>
    <xf numFmtId="173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5" fillId="0" borderId="20" xfId="42" applyFont="1" applyBorder="1" applyAlignment="1" applyProtection="1">
      <alignment horizontal="center" wrapText="1"/>
      <protection/>
    </xf>
    <xf numFmtId="0" fontId="15" fillId="0" borderId="13" xfId="42" applyFont="1" applyBorder="1" applyAlignment="1" applyProtection="1">
      <alignment horizontal="center" wrapText="1"/>
      <protection/>
    </xf>
    <xf numFmtId="0" fontId="15" fillId="0" borderId="22" xfId="42" applyFont="1" applyBorder="1" applyAlignment="1" applyProtection="1">
      <alignment horizontal="center" wrapText="1"/>
      <protection/>
    </xf>
    <xf numFmtId="0" fontId="15" fillId="0" borderId="18" xfId="42" applyFont="1" applyBorder="1" applyAlignment="1" applyProtection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view="pageBreakPreview" zoomScale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" sqref="K1"/>
    </sheetView>
  </sheetViews>
  <sheetFormatPr defaultColWidth="9.00390625" defaultRowHeight="12.75"/>
  <cols>
    <col min="1" max="1" width="43.00390625" style="26" customWidth="1"/>
    <col min="2" max="2" width="12.75390625" style="26" customWidth="1"/>
    <col min="3" max="3" width="15.25390625" style="26" customWidth="1"/>
    <col min="4" max="4" width="15.875" style="26" customWidth="1"/>
    <col min="5" max="5" width="14.375" style="26" customWidth="1"/>
    <col min="6" max="6" width="10.625" style="26" hidden="1" customWidth="1"/>
    <col min="7" max="7" width="14.25390625" style="26" customWidth="1"/>
    <col min="8" max="8" width="12.125" style="26" hidden="1" customWidth="1"/>
    <col min="9" max="9" width="14.875" style="26" customWidth="1"/>
    <col min="10" max="10" width="11.625" style="26" hidden="1" customWidth="1"/>
    <col min="11" max="11" width="14.125" style="26" customWidth="1"/>
    <col min="12" max="16384" width="9.125" style="26" customWidth="1"/>
  </cols>
  <sheetData>
    <row r="1" spans="10:11" ht="18.75">
      <c r="J1" s="21" t="s">
        <v>169</v>
      </c>
      <c r="K1" s="26" t="s">
        <v>183</v>
      </c>
    </row>
    <row r="2" spans="1:11" ht="18.75">
      <c r="A2" s="111" t="s">
        <v>181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0" ht="15.75">
      <c r="A3" s="113" t="s">
        <v>182</v>
      </c>
      <c r="B3" s="113"/>
      <c r="C3" s="113"/>
      <c r="D3" s="113"/>
      <c r="E3" s="113"/>
      <c r="F3" s="113"/>
      <c r="G3" s="113"/>
      <c r="H3" s="113"/>
      <c r="I3" s="113"/>
      <c r="J3" s="113"/>
    </row>
    <row r="4" ht="13.5" thickBot="1"/>
    <row r="5" spans="1:11" ht="15">
      <c r="A5" s="1"/>
      <c r="B5" s="4"/>
      <c r="C5" s="103" t="s">
        <v>2</v>
      </c>
      <c r="D5" s="104"/>
      <c r="E5" s="99" t="s">
        <v>3</v>
      </c>
      <c r="F5" s="93" t="s">
        <v>4</v>
      </c>
      <c r="G5" s="94"/>
      <c r="H5" s="94"/>
      <c r="I5" s="94"/>
      <c r="J5" s="94"/>
      <c r="K5" s="95"/>
    </row>
    <row r="6" spans="1:11" ht="30.75" thickBot="1">
      <c r="A6" s="2"/>
      <c r="B6" s="5" t="s">
        <v>1</v>
      </c>
      <c r="C6" s="105"/>
      <c r="D6" s="106"/>
      <c r="E6" s="107"/>
      <c r="F6" s="96"/>
      <c r="G6" s="97"/>
      <c r="H6" s="97"/>
      <c r="I6" s="97"/>
      <c r="J6" s="97"/>
      <c r="K6" s="98"/>
    </row>
    <row r="7" spans="1:11" ht="15.75" thickBot="1">
      <c r="A7" s="2" t="s">
        <v>0</v>
      </c>
      <c r="B7" s="5"/>
      <c r="C7" s="99">
        <v>2012</v>
      </c>
      <c r="D7" s="99">
        <v>2013</v>
      </c>
      <c r="E7" s="99">
        <v>2014</v>
      </c>
      <c r="F7" s="101">
        <v>2015</v>
      </c>
      <c r="G7" s="102"/>
      <c r="H7" s="101">
        <v>2016</v>
      </c>
      <c r="I7" s="102"/>
      <c r="J7" s="101">
        <v>2017</v>
      </c>
      <c r="K7" s="102"/>
    </row>
    <row r="8" spans="1:11" ht="30.75" thickBot="1">
      <c r="A8" s="3"/>
      <c r="B8" s="63"/>
      <c r="C8" s="100"/>
      <c r="D8" s="100"/>
      <c r="E8" s="100"/>
      <c r="F8" s="5" t="s">
        <v>5</v>
      </c>
      <c r="G8" s="4"/>
      <c r="H8" s="5" t="s">
        <v>5</v>
      </c>
      <c r="I8" s="5"/>
      <c r="J8" s="5" t="s">
        <v>5</v>
      </c>
      <c r="K8" s="5"/>
    </row>
    <row r="9" spans="1:11" ht="15" thickBot="1">
      <c r="A9" s="6" t="s">
        <v>6</v>
      </c>
      <c r="B9" s="15"/>
      <c r="C9" s="82">
        <f aca="true" t="shared" si="0" ref="C9:K9">C123/(C13*1000)*100</f>
        <v>0</v>
      </c>
      <c r="D9" s="82">
        <f t="shared" si="0"/>
        <v>0</v>
      </c>
      <c r="E9" s="82">
        <f t="shared" si="0"/>
        <v>0</v>
      </c>
      <c r="F9" s="82">
        <f t="shared" si="0"/>
        <v>0.6899563318777293</v>
      </c>
      <c r="G9" s="82">
        <f t="shared" si="0"/>
        <v>0</v>
      </c>
      <c r="H9" s="82">
        <f t="shared" si="0"/>
        <v>0.7006651884700665</v>
      </c>
      <c r="I9" s="82">
        <f t="shared" si="0"/>
        <v>0</v>
      </c>
      <c r="J9" s="82">
        <f t="shared" si="0"/>
        <v>0.7101123595505618</v>
      </c>
      <c r="K9" s="82">
        <f t="shared" si="0"/>
        <v>0</v>
      </c>
    </row>
    <row r="10" spans="1:11" ht="15" hidden="1" thickBot="1">
      <c r="A10" s="11"/>
      <c r="B10" s="22"/>
      <c r="C10" s="23">
        <f>C12*100/C13</f>
        <v>523.943661971831</v>
      </c>
      <c r="D10" s="23">
        <f>D12*100/D13</f>
        <v>496.7662033851658</v>
      </c>
      <c r="E10" s="23">
        <f aca="true" t="shared" si="1" ref="E10:K10">E11*100/E13</f>
        <v>472.2337626367539</v>
      </c>
      <c r="F10" s="23">
        <f t="shared" si="1"/>
        <v>70.08733624454149</v>
      </c>
      <c r="G10" s="23">
        <f t="shared" si="1"/>
        <v>453.4075104311544</v>
      </c>
      <c r="H10" s="23">
        <f t="shared" si="1"/>
        <v>66.74057649667405</v>
      </c>
      <c r="I10" s="23">
        <f t="shared" si="1"/>
        <v>432.4850507578918</v>
      </c>
      <c r="J10" s="23">
        <f t="shared" si="1"/>
        <v>63.146067415730336</v>
      </c>
      <c r="K10" s="23">
        <f t="shared" si="1"/>
        <v>412.25626740947075</v>
      </c>
    </row>
    <row r="11" spans="1:11" ht="15" hidden="1" thickBot="1">
      <c r="A11" s="11"/>
      <c r="B11" s="22"/>
      <c r="C11" s="14"/>
      <c r="D11" s="14"/>
      <c r="E11" s="12">
        <f>D12-2</f>
        <v>34.1</v>
      </c>
      <c r="F11" s="12">
        <f>E11-2</f>
        <v>32.1</v>
      </c>
      <c r="G11" s="12">
        <f>E11-1.5</f>
        <v>32.6</v>
      </c>
      <c r="H11" s="12">
        <f>F11-2</f>
        <v>30.1</v>
      </c>
      <c r="I11" s="12">
        <f>G11-1.5</f>
        <v>31.1</v>
      </c>
      <c r="J11" s="12">
        <f>H11-2</f>
        <v>28.1</v>
      </c>
      <c r="K11" s="12">
        <f>I11-1.5</f>
        <v>29.6</v>
      </c>
    </row>
    <row r="12" spans="1:11" ht="15" hidden="1" thickBot="1">
      <c r="A12" s="11"/>
      <c r="B12" s="22"/>
      <c r="C12" s="14">
        <v>37.2</v>
      </c>
      <c r="D12" s="14">
        <v>36.1</v>
      </c>
      <c r="E12" s="12">
        <v>35.2</v>
      </c>
      <c r="F12" s="12">
        <v>34.5</v>
      </c>
      <c r="G12" s="12">
        <v>35.2</v>
      </c>
      <c r="H12" s="12">
        <v>34.5</v>
      </c>
      <c r="I12" s="12">
        <v>35.2</v>
      </c>
      <c r="J12" s="12">
        <v>34</v>
      </c>
      <c r="K12" s="12">
        <v>35</v>
      </c>
    </row>
    <row r="13" spans="1:11" ht="22.5" customHeight="1">
      <c r="A13" s="109" t="s">
        <v>7</v>
      </c>
      <c r="B13" s="10" t="s">
        <v>8</v>
      </c>
      <c r="C13" s="108">
        <v>7.1</v>
      </c>
      <c r="D13" s="108">
        <v>7.267</v>
      </c>
      <c r="E13" s="108">
        <v>7.221</v>
      </c>
      <c r="F13" s="108">
        <v>45.8</v>
      </c>
      <c r="G13" s="108">
        <v>7.19</v>
      </c>
      <c r="H13" s="108">
        <v>45.1</v>
      </c>
      <c r="I13" s="108">
        <v>7.191</v>
      </c>
      <c r="J13" s="108">
        <v>44.5</v>
      </c>
      <c r="K13" s="108">
        <v>7.18</v>
      </c>
    </row>
    <row r="14" spans="1:11" ht="22.5" customHeight="1" thickBot="1">
      <c r="A14" s="110"/>
      <c r="B14" s="9" t="s">
        <v>9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46.5" customHeight="1" thickBot="1">
      <c r="A15" s="24"/>
      <c r="B15" s="85" t="s">
        <v>10</v>
      </c>
      <c r="C15" s="17">
        <v>97.5</v>
      </c>
      <c r="D15" s="17">
        <v>97.8</v>
      </c>
      <c r="E15" s="17">
        <f>E13*100/D13</f>
        <v>99.36700151369203</v>
      </c>
      <c r="F15" s="43">
        <f>F13*100/E13</f>
        <v>634.2611826616812</v>
      </c>
      <c r="G15" s="17">
        <f>G13*100/E13</f>
        <v>99.57069657942114</v>
      </c>
      <c r="H15" s="43">
        <f>H13*100/G13</f>
        <v>627.260083449235</v>
      </c>
      <c r="I15" s="43">
        <f>I13*100/G13</f>
        <v>100.01390820584145</v>
      </c>
      <c r="J15" s="43">
        <f>J13*100/I13</f>
        <v>618.8290919204561</v>
      </c>
      <c r="K15" s="17">
        <f>K13*100/I13</f>
        <v>99.84703101098596</v>
      </c>
    </row>
    <row r="16" spans="1:11" ht="22.5" customHeight="1" thickBot="1">
      <c r="A16" s="25" t="s">
        <v>11</v>
      </c>
      <c r="B16" s="86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2.5" customHeight="1" thickBot="1">
      <c r="A17" s="25" t="s">
        <v>12</v>
      </c>
      <c r="B17" s="86" t="s">
        <v>13</v>
      </c>
      <c r="C17" s="18">
        <v>6.638</v>
      </c>
      <c r="D17" s="18">
        <v>6.531</v>
      </c>
      <c r="E17" s="18">
        <v>6.672</v>
      </c>
      <c r="F17" s="18">
        <v>39.1</v>
      </c>
      <c r="G17" s="18">
        <v>6.541</v>
      </c>
      <c r="H17" s="18">
        <v>38.4</v>
      </c>
      <c r="I17" s="18">
        <v>6.511</v>
      </c>
      <c r="J17" s="18">
        <v>37.8</v>
      </c>
      <c r="K17" s="18">
        <v>6.496</v>
      </c>
    </row>
    <row r="18" spans="1:11" ht="22.5" customHeight="1" thickBot="1">
      <c r="A18" s="25"/>
      <c r="B18" s="86" t="s">
        <v>10</v>
      </c>
      <c r="C18" s="17">
        <v>97.9</v>
      </c>
      <c r="D18" s="17">
        <v>98.2</v>
      </c>
      <c r="E18" s="17">
        <f>E17*100/D17</f>
        <v>102.15893431327514</v>
      </c>
      <c r="F18" s="17">
        <f>F17*100/E17</f>
        <v>586.031175059952</v>
      </c>
      <c r="G18" s="17">
        <f>G17*100/E17</f>
        <v>98.03657074340528</v>
      </c>
      <c r="H18" s="17">
        <f>H17*100/G17</f>
        <v>587.0661978290781</v>
      </c>
      <c r="I18" s="17">
        <f>I17*100/G17</f>
        <v>99.54135453294603</v>
      </c>
      <c r="J18" s="17">
        <f>J17*100/I17</f>
        <v>580.5559821839962</v>
      </c>
      <c r="K18" s="17">
        <f>K17*100/I17</f>
        <v>99.76962064199049</v>
      </c>
    </row>
    <row r="19" spans="1:11" ht="22.5" customHeight="1" thickBot="1">
      <c r="A19" s="25" t="s">
        <v>14</v>
      </c>
      <c r="B19" s="86" t="s">
        <v>13</v>
      </c>
      <c r="C19" s="18">
        <v>6.7</v>
      </c>
      <c r="D19" s="18">
        <f>D13-D17</f>
        <v>0.7360000000000007</v>
      </c>
      <c r="E19" s="18">
        <v>0.549</v>
      </c>
      <c r="F19" s="18">
        <v>6.7</v>
      </c>
      <c r="G19" s="18">
        <f>G13-G17</f>
        <v>0.649</v>
      </c>
      <c r="H19" s="18">
        <v>6.7</v>
      </c>
      <c r="I19" s="18">
        <f>I13-I17</f>
        <v>0.6799999999999997</v>
      </c>
      <c r="J19" s="18">
        <v>6.7</v>
      </c>
      <c r="K19" s="18">
        <f>K13-K17</f>
        <v>0.6839999999999993</v>
      </c>
    </row>
    <row r="20" spans="1:11" ht="22.5" customHeight="1" thickBot="1">
      <c r="A20" s="25"/>
      <c r="B20" s="86" t="s">
        <v>10</v>
      </c>
      <c r="C20" s="43">
        <v>95.4</v>
      </c>
      <c r="D20" s="43">
        <v>95.8</v>
      </c>
      <c r="E20" s="17">
        <f>E19*100/D19</f>
        <v>74.59239130434777</v>
      </c>
      <c r="F20" s="17">
        <f>F19*100/E19</f>
        <v>1220.4007285974499</v>
      </c>
      <c r="G20" s="17">
        <f>G19*100/E19</f>
        <v>118.21493624772313</v>
      </c>
      <c r="H20" s="17">
        <f>H19*100/G19</f>
        <v>1032.3574730354392</v>
      </c>
      <c r="I20" s="17">
        <f>I19*100/G19</f>
        <v>104.77657935285049</v>
      </c>
      <c r="J20" s="17">
        <f>J19*100/I19</f>
        <v>985.2941176470592</v>
      </c>
      <c r="K20" s="17">
        <f>K19*100/I19</f>
        <v>100.58823529411757</v>
      </c>
    </row>
    <row r="21" spans="1:11" ht="37.5" customHeight="1" thickBot="1">
      <c r="A21" s="7" t="s">
        <v>15</v>
      </c>
      <c r="B21" s="9" t="s">
        <v>16</v>
      </c>
      <c r="C21" s="48">
        <v>5.2</v>
      </c>
      <c r="D21" s="48">
        <v>5.1</v>
      </c>
      <c r="E21" s="49">
        <v>6.9</v>
      </c>
      <c r="F21" s="17">
        <v>10.915123995808592</v>
      </c>
      <c r="G21" s="17">
        <v>6.9</v>
      </c>
      <c r="H21" s="49">
        <v>11.0845082912122</v>
      </c>
      <c r="I21" s="49">
        <v>7</v>
      </c>
      <c r="J21" s="17">
        <v>11.240249083919698</v>
      </c>
      <c r="K21" s="17">
        <v>8</v>
      </c>
    </row>
    <row r="22" spans="1:11" ht="41.25" customHeight="1" thickBot="1">
      <c r="A22" s="7" t="s">
        <v>17</v>
      </c>
      <c r="B22" s="9" t="s">
        <v>16</v>
      </c>
      <c r="C22" s="49">
        <v>11</v>
      </c>
      <c r="D22" s="49">
        <v>14</v>
      </c>
      <c r="E22" s="49">
        <v>11</v>
      </c>
      <c r="F22" s="17">
        <v>17.46419839329375</v>
      </c>
      <c r="G22" s="17">
        <v>10</v>
      </c>
      <c r="H22" s="49">
        <v>16.6267624368183</v>
      </c>
      <c r="I22" s="49">
        <v>9</v>
      </c>
      <c r="J22" s="17">
        <v>16.860373625879546</v>
      </c>
      <c r="K22" s="17">
        <v>10</v>
      </c>
    </row>
    <row r="23" spans="1:11" ht="36.75" customHeight="1" thickBot="1">
      <c r="A23" s="7" t="s">
        <v>165</v>
      </c>
      <c r="B23" s="9" t="s">
        <v>16</v>
      </c>
      <c r="C23" s="17">
        <f aca="true" t="shared" si="2" ref="C23:K23">C21-C22</f>
        <v>-5.8</v>
      </c>
      <c r="D23" s="17">
        <f t="shared" si="2"/>
        <v>-8.9</v>
      </c>
      <c r="E23" s="17">
        <f t="shared" si="2"/>
        <v>-4.1</v>
      </c>
      <c r="F23" s="17">
        <f t="shared" si="2"/>
        <v>-6.549074397485157</v>
      </c>
      <c r="G23" s="17">
        <f>G21-G22</f>
        <v>-3.0999999999999996</v>
      </c>
      <c r="H23" s="17">
        <f t="shared" si="2"/>
        <v>-5.542254145606099</v>
      </c>
      <c r="I23" s="17">
        <f>I21-I22</f>
        <v>-2</v>
      </c>
      <c r="J23" s="17">
        <f t="shared" si="2"/>
        <v>-5.620124541959848</v>
      </c>
      <c r="K23" s="17">
        <f t="shared" si="2"/>
        <v>-2</v>
      </c>
    </row>
    <row r="24" spans="1:11" ht="38.25" customHeight="1" thickBot="1">
      <c r="A24" s="7" t="s">
        <v>18</v>
      </c>
      <c r="B24" s="9" t="s">
        <v>16</v>
      </c>
      <c r="C24" s="37">
        <v>-4</v>
      </c>
      <c r="D24" s="37">
        <v>-4</v>
      </c>
      <c r="E24" s="50">
        <v>-4</v>
      </c>
      <c r="F24" s="51">
        <v>-8.7</v>
      </c>
      <c r="G24" s="50">
        <v>-4</v>
      </c>
      <c r="H24" s="51">
        <v>-8.9</v>
      </c>
      <c r="I24" s="50">
        <v>-4</v>
      </c>
      <c r="J24" s="51">
        <v>-5.6</v>
      </c>
      <c r="K24" s="52">
        <v>-4</v>
      </c>
    </row>
    <row r="25" spans="1:11" ht="29.25" customHeight="1" thickBot="1">
      <c r="A25" s="6" t="s">
        <v>19</v>
      </c>
      <c r="B25" s="16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29.25" customHeight="1" thickBot="1">
      <c r="A26" s="7" t="s">
        <v>20</v>
      </c>
      <c r="B26" s="9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81" customHeight="1" thickBot="1">
      <c r="A27" s="7" t="s">
        <v>21</v>
      </c>
      <c r="B27" s="9" t="s">
        <v>10</v>
      </c>
      <c r="C27" s="43">
        <v>90.1</v>
      </c>
      <c r="D27" s="17">
        <v>90.8</v>
      </c>
      <c r="E27" s="17">
        <v>90.2</v>
      </c>
      <c r="F27" s="17">
        <v>100.28043246415703</v>
      </c>
      <c r="G27" s="17">
        <v>91.5</v>
      </c>
      <c r="H27" s="17">
        <v>100.82869440381165</v>
      </c>
      <c r="I27" s="17">
        <v>96.6</v>
      </c>
      <c r="J27" s="17">
        <v>101.84786061553481</v>
      </c>
      <c r="K27" s="17">
        <v>98.8</v>
      </c>
    </row>
    <row r="28" spans="1:11" ht="31.5" customHeight="1" thickBot="1">
      <c r="A28" s="7" t="s">
        <v>22</v>
      </c>
      <c r="B28" s="9"/>
      <c r="C28" s="18"/>
      <c r="D28" s="17"/>
      <c r="E28" s="17"/>
      <c r="F28" s="17"/>
      <c r="G28" s="17"/>
      <c r="H28" s="17"/>
      <c r="I28" s="17"/>
      <c r="J28" s="17"/>
      <c r="K28" s="17"/>
    </row>
    <row r="29" spans="1:11" ht="91.5" customHeight="1" thickBot="1">
      <c r="A29" s="7" t="s">
        <v>23</v>
      </c>
      <c r="B29" s="9" t="s">
        <v>24</v>
      </c>
      <c r="C29" s="18"/>
      <c r="D29" s="18"/>
      <c r="E29" s="17"/>
      <c r="F29" s="17">
        <f>E29*F30/100*F31/100</f>
        <v>0</v>
      </c>
      <c r="G29" s="17"/>
      <c r="H29" s="17">
        <f>F29*H30/100*H31/100</f>
        <v>0</v>
      </c>
      <c r="I29" s="17"/>
      <c r="J29" s="17">
        <f>H29*J30/100*J31/100</f>
        <v>0</v>
      </c>
      <c r="K29" s="17"/>
    </row>
    <row r="30" spans="1:11" ht="50.25" customHeight="1" thickBot="1">
      <c r="A30" s="7" t="s">
        <v>25</v>
      </c>
      <c r="B30" s="9" t="s">
        <v>10</v>
      </c>
      <c r="C30" s="17"/>
      <c r="D30" s="17"/>
      <c r="E30" s="53"/>
      <c r="F30" s="53">
        <v>104</v>
      </c>
      <c r="G30" s="53"/>
      <c r="H30" s="53">
        <v>101.4</v>
      </c>
      <c r="I30" s="53"/>
      <c r="J30" s="53">
        <v>100.5</v>
      </c>
      <c r="K30" s="53"/>
    </row>
    <row r="31" spans="1:11" ht="48" customHeight="1" thickBot="1">
      <c r="A31" s="7" t="s">
        <v>26</v>
      </c>
      <c r="B31" s="9" t="s">
        <v>10</v>
      </c>
      <c r="C31" s="18"/>
      <c r="D31" s="18"/>
      <c r="E31" s="53"/>
      <c r="F31" s="53">
        <v>94.5</v>
      </c>
      <c r="G31" s="53"/>
      <c r="H31" s="53">
        <v>101.9</v>
      </c>
      <c r="I31" s="53"/>
      <c r="J31" s="53">
        <v>104.7</v>
      </c>
      <c r="K31" s="53"/>
    </row>
    <row r="32" spans="1:11" ht="105.75" customHeight="1" thickBot="1">
      <c r="A32" s="7" t="s">
        <v>27</v>
      </c>
      <c r="B32" s="9" t="s">
        <v>24</v>
      </c>
      <c r="C32" s="18"/>
      <c r="D32" s="18"/>
      <c r="E32" s="17"/>
      <c r="F32" s="17">
        <f>E32*F33/100*F34/100</f>
        <v>0</v>
      </c>
      <c r="G32" s="17"/>
      <c r="H32" s="17">
        <f>F32*H33/100*H34/100</f>
        <v>0</v>
      </c>
      <c r="I32" s="17"/>
      <c r="J32" s="17">
        <f>H32*J33/100*J34/100</f>
        <v>0</v>
      </c>
      <c r="K32" s="17"/>
    </row>
    <row r="33" spans="1:11" ht="60" customHeight="1" thickBot="1">
      <c r="A33" s="7" t="s">
        <v>28</v>
      </c>
      <c r="B33" s="9" t="s">
        <v>10</v>
      </c>
      <c r="C33" s="17"/>
      <c r="D33" s="17"/>
      <c r="E33" s="53"/>
      <c r="F33" s="53">
        <v>104</v>
      </c>
      <c r="G33" s="53"/>
      <c r="H33" s="53">
        <v>101.4</v>
      </c>
      <c r="I33" s="53"/>
      <c r="J33" s="53">
        <v>100.5</v>
      </c>
      <c r="K33" s="53"/>
    </row>
    <row r="34" spans="1:11" ht="64.5" customHeight="1" thickBot="1">
      <c r="A34" s="7" t="s">
        <v>29</v>
      </c>
      <c r="B34" s="9" t="s">
        <v>10</v>
      </c>
      <c r="C34" s="18"/>
      <c r="D34" s="18"/>
      <c r="E34" s="53"/>
      <c r="F34" s="53">
        <v>94.5</v>
      </c>
      <c r="G34" s="53"/>
      <c r="H34" s="53">
        <v>101.9</v>
      </c>
      <c r="I34" s="53"/>
      <c r="J34" s="53">
        <v>104.7</v>
      </c>
      <c r="K34" s="53"/>
    </row>
    <row r="35" spans="1:11" ht="33.75" customHeight="1" thickBot="1">
      <c r="A35" s="7" t="s">
        <v>30</v>
      </c>
      <c r="B35" s="27"/>
      <c r="C35" s="44">
        <f>C36-C39-C42-C49-C53-C64-C67-C70-C73-C79</f>
        <v>-4.2</v>
      </c>
      <c r="D35" s="45">
        <f>D36-D39-D42-D49-D53-D64-D67-D70-D73-D79</f>
        <v>-5.300000000000001</v>
      </c>
      <c r="E35" s="17"/>
      <c r="F35" s="17"/>
      <c r="G35" s="18"/>
      <c r="H35" s="18"/>
      <c r="I35" s="18"/>
      <c r="J35" s="18"/>
      <c r="K35" s="18"/>
    </row>
    <row r="36" spans="1:11" ht="91.5" customHeight="1" thickBot="1">
      <c r="A36" s="7" t="s">
        <v>31</v>
      </c>
      <c r="B36" s="9" t="s">
        <v>24</v>
      </c>
      <c r="C36" s="17">
        <v>2</v>
      </c>
      <c r="D36" s="17">
        <v>2.5</v>
      </c>
      <c r="E36" s="17">
        <v>3</v>
      </c>
      <c r="F36" s="17">
        <v>5767.183464136581</v>
      </c>
      <c r="G36" s="17">
        <v>3</v>
      </c>
      <c r="H36" s="17">
        <v>6329.419592107757</v>
      </c>
      <c r="I36" s="17">
        <v>3</v>
      </c>
      <c r="J36" s="17">
        <v>7109.684297279157</v>
      </c>
      <c r="K36" s="17">
        <v>3</v>
      </c>
    </row>
    <row r="37" spans="1:11" ht="45.75" customHeight="1" thickBot="1">
      <c r="A37" s="7" t="s">
        <v>32</v>
      </c>
      <c r="B37" s="9" t="s">
        <v>10</v>
      </c>
      <c r="C37" s="17">
        <v>100.15132656689731</v>
      </c>
      <c r="D37" s="17">
        <v>92.25359385979168</v>
      </c>
      <c r="E37" s="17">
        <v>96.97794159901308</v>
      </c>
      <c r="F37" s="17">
        <v>100.68882471529876</v>
      </c>
      <c r="G37" s="17">
        <v>101.95512137061758</v>
      </c>
      <c r="H37" s="17">
        <v>101.91246943053099</v>
      </c>
      <c r="I37" s="17">
        <v>101.4469309911403</v>
      </c>
      <c r="J37" s="17">
        <v>103.83908412342002</v>
      </c>
      <c r="K37" s="17">
        <v>101.93789622362239</v>
      </c>
    </row>
    <row r="38" spans="1:11" ht="45.75" customHeight="1" thickBot="1">
      <c r="A38" s="7" t="s">
        <v>33</v>
      </c>
      <c r="B38" s="9" t="s">
        <v>10</v>
      </c>
      <c r="C38" s="17">
        <v>99.84944323642175</v>
      </c>
      <c r="D38" s="17">
        <v>94.39198999161535</v>
      </c>
      <c r="E38" s="17">
        <v>103.69779677672362</v>
      </c>
      <c r="F38" s="17">
        <v>105.92541444857831</v>
      </c>
      <c r="G38" s="17">
        <v>110.61132641955223</v>
      </c>
      <c r="H38" s="17">
        <v>107.68935968447293</v>
      </c>
      <c r="I38" s="17">
        <v>106.62725115004797</v>
      </c>
      <c r="J38" s="17">
        <v>108.17467037803274</v>
      </c>
      <c r="K38" s="17">
        <v>105.92864427212936</v>
      </c>
    </row>
    <row r="39" spans="1:11" ht="123" customHeight="1" thickBot="1">
      <c r="A39" s="7" t="s">
        <v>34</v>
      </c>
      <c r="B39" s="9" t="s">
        <v>24</v>
      </c>
      <c r="C39" s="18">
        <v>5</v>
      </c>
      <c r="D39" s="18">
        <v>5.9</v>
      </c>
      <c r="E39" s="17">
        <v>6</v>
      </c>
      <c r="F39" s="17">
        <f>E39*F40/100*F41/100</f>
        <v>6.222215999999999</v>
      </c>
      <c r="G39" s="17">
        <v>6.2</v>
      </c>
      <c r="H39" s="17">
        <f>F39*H40/100*H41/100</f>
        <v>6.502215719999998</v>
      </c>
      <c r="I39" s="17">
        <v>6.3</v>
      </c>
      <c r="J39" s="17">
        <f>H39*J40/100*J41/100</f>
        <v>6.833828721719998</v>
      </c>
      <c r="K39" s="17">
        <f>I39*K40/100*K41/100</f>
        <v>6.533099999999999</v>
      </c>
    </row>
    <row r="40" spans="1:11" ht="79.5" customHeight="1" thickBot="1">
      <c r="A40" s="7" t="s">
        <v>35</v>
      </c>
      <c r="B40" s="9" t="s">
        <v>10</v>
      </c>
      <c r="C40" s="17">
        <f>C39/(124.1*C41/100)*100</f>
        <v>4.069705923050001</v>
      </c>
      <c r="D40" s="17">
        <f>D39/(C39*D41/100)*100</f>
        <v>121.64948453608248</v>
      </c>
      <c r="E40" s="18">
        <v>87.3</v>
      </c>
      <c r="F40" s="18">
        <v>100.1</v>
      </c>
      <c r="G40" s="18">
        <v>101</v>
      </c>
      <c r="H40" s="18">
        <v>100</v>
      </c>
      <c r="I40" s="18">
        <v>100</v>
      </c>
      <c r="J40" s="18">
        <v>100</v>
      </c>
      <c r="K40" s="18">
        <v>100</v>
      </c>
    </row>
    <row r="41" spans="1:11" ht="57" customHeight="1" thickBot="1">
      <c r="A41" s="7" t="s">
        <v>36</v>
      </c>
      <c r="B41" s="9" t="s">
        <v>10</v>
      </c>
      <c r="C41" s="18">
        <v>99</v>
      </c>
      <c r="D41" s="18">
        <v>97</v>
      </c>
      <c r="E41" s="54">
        <v>122.6</v>
      </c>
      <c r="F41" s="54">
        <v>103.6</v>
      </c>
      <c r="G41" s="54">
        <v>106.2</v>
      </c>
      <c r="H41" s="54">
        <v>104.5</v>
      </c>
      <c r="I41" s="54">
        <v>104.8</v>
      </c>
      <c r="J41" s="54">
        <v>105.1</v>
      </c>
      <c r="K41" s="54">
        <v>103.7</v>
      </c>
    </row>
    <row r="42" spans="1:11" ht="72" customHeight="1" thickBot="1">
      <c r="A42" s="7" t="s">
        <v>37</v>
      </c>
      <c r="B42" s="9" t="s">
        <v>24</v>
      </c>
      <c r="C42" s="18">
        <v>0</v>
      </c>
      <c r="D42" s="18">
        <v>0</v>
      </c>
      <c r="E42" s="17">
        <v>0</v>
      </c>
      <c r="F42" s="17">
        <f>E42*F43/100*F44/100</f>
        <v>0</v>
      </c>
      <c r="G42" s="17">
        <f>E42*G43/100*G44/100</f>
        <v>0</v>
      </c>
      <c r="H42" s="17">
        <f>F42*H43/100*H44/100</f>
        <v>0</v>
      </c>
      <c r="I42" s="17">
        <f>G42*I43/100*I44/100</f>
        <v>0</v>
      </c>
      <c r="J42" s="17">
        <f>H42*J43/100*J44/100</f>
        <v>0</v>
      </c>
      <c r="K42" s="17">
        <f>I42*K43/100*K44/100</f>
        <v>0</v>
      </c>
    </row>
    <row r="43" spans="1:11" ht="60" customHeight="1" thickBot="1">
      <c r="A43" s="7" t="s">
        <v>38</v>
      </c>
      <c r="B43" s="9" t="s">
        <v>10</v>
      </c>
      <c r="C43" s="17">
        <v>0</v>
      </c>
      <c r="D43" s="17">
        <v>0</v>
      </c>
      <c r="E43" s="18">
        <v>0</v>
      </c>
      <c r="F43" s="18">
        <v>99</v>
      </c>
      <c r="G43" s="18">
        <v>0</v>
      </c>
      <c r="H43" s="18">
        <v>99.5</v>
      </c>
      <c r="I43" s="18">
        <v>0</v>
      </c>
      <c r="J43" s="18">
        <v>99.5</v>
      </c>
      <c r="K43" s="18">
        <v>0</v>
      </c>
    </row>
    <row r="44" spans="1:11" ht="58.5" customHeight="1" thickBot="1">
      <c r="A44" s="7" t="s">
        <v>39</v>
      </c>
      <c r="B44" s="9" t="s">
        <v>10</v>
      </c>
      <c r="C44" s="18">
        <v>0</v>
      </c>
      <c r="D44" s="55">
        <v>0</v>
      </c>
      <c r="E44" s="56">
        <v>0</v>
      </c>
      <c r="F44" s="56">
        <v>104.1</v>
      </c>
      <c r="G44" s="56">
        <v>0</v>
      </c>
      <c r="H44" s="56">
        <v>105.5</v>
      </c>
      <c r="I44" s="56">
        <v>0</v>
      </c>
      <c r="J44" s="56">
        <v>104.2</v>
      </c>
      <c r="K44" s="56">
        <v>0</v>
      </c>
    </row>
    <row r="45" spans="1:11" ht="69" customHeight="1" thickBot="1">
      <c r="A45" s="7" t="s">
        <v>40</v>
      </c>
      <c r="B45" s="9" t="s">
        <v>24</v>
      </c>
      <c r="C45" s="18" t="s">
        <v>164</v>
      </c>
      <c r="D45" s="18" t="s">
        <v>164</v>
      </c>
      <c r="E45" s="18" t="s">
        <v>164</v>
      </c>
      <c r="F45" s="18" t="s">
        <v>164</v>
      </c>
      <c r="G45" s="18" t="s">
        <v>164</v>
      </c>
      <c r="H45" s="18" t="s">
        <v>164</v>
      </c>
      <c r="I45" s="18" t="s">
        <v>164</v>
      </c>
      <c r="J45" s="18" t="s">
        <v>164</v>
      </c>
      <c r="K45" s="18" t="s">
        <v>164</v>
      </c>
    </row>
    <row r="46" spans="1:11" ht="39" customHeight="1" thickBot="1">
      <c r="A46" s="7" t="s">
        <v>41</v>
      </c>
      <c r="B46" s="9" t="s">
        <v>10</v>
      </c>
      <c r="C46" s="18" t="s">
        <v>164</v>
      </c>
      <c r="D46" s="18" t="s">
        <v>164</v>
      </c>
      <c r="E46" s="18"/>
      <c r="F46" s="18"/>
      <c r="G46" s="18"/>
      <c r="H46" s="18"/>
      <c r="I46" s="18"/>
      <c r="J46" s="18"/>
      <c r="K46" s="18"/>
    </row>
    <row r="47" spans="1:11" ht="33.75" customHeight="1">
      <c r="A47" s="109" t="s">
        <v>42</v>
      </c>
      <c r="B47" s="10" t="s">
        <v>43</v>
      </c>
      <c r="C47" s="108" t="s">
        <v>164</v>
      </c>
      <c r="D47" s="108" t="s">
        <v>164</v>
      </c>
      <c r="E47" s="108" t="s">
        <v>164</v>
      </c>
      <c r="F47" s="108" t="s">
        <v>164</v>
      </c>
      <c r="G47" s="108" t="s">
        <v>164</v>
      </c>
      <c r="H47" s="108" t="s">
        <v>164</v>
      </c>
      <c r="I47" s="108" t="s">
        <v>164</v>
      </c>
      <c r="J47" s="108" t="s">
        <v>164</v>
      </c>
      <c r="K47" s="108" t="s">
        <v>164</v>
      </c>
    </row>
    <row r="48" spans="1:11" ht="14.25" customHeight="1" thickBot="1">
      <c r="A48" s="110"/>
      <c r="B48" s="9" t="s">
        <v>44</v>
      </c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11" ht="78.75" customHeight="1" thickBot="1">
      <c r="A49" s="7" t="s">
        <v>45</v>
      </c>
      <c r="B49" s="9" t="s">
        <v>24</v>
      </c>
      <c r="C49" s="18">
        <v>1.2</v>
      </c>
      <c r="D49" s="18">
        <v>1.9</v>
      </c>
      <c r="E49" s="17">
        <v>2.3</v>
      </c>
      <c r="F49" s="17">
        <f>E49*F50/100*F51/100</f>
        <v>2.4779739999999997</v>
      </c>
      <c r="G49" s="17">
        <f>E49*G50/100*G51/100</f>
        <v>2.4701999999999997</v>
      </c>
      <c r="H49" s="17">
        <f>F49*H50/100*H51/100</f>
        <v>2.659708613159999</v>
      </c>
      <c r="I49" s="17">
        <f>G49*I50/100*I51/100</f>
        <v>2.6208821999999996</v>
      </c>
      <c r="J49" s="17">
        <f>H49*J50/100*J51/100</f>
        <v>2.8729640497631674</v>
      </c>
      <c r="K49" s="17">
        <f>I49*K50/100*K51/100</f>
        <v>2.7820926641219996</v>
      </c>
    </row>
    <row r="50" spans="1:11" ht="46.5" customHeight="1" thickBot="1">
      <c r="A50" s="7" t="s">
        <v>46</v>
      </c>
      <c r="B50" s="9" t="s">
        <v>10</v>
      </c>
      <c r="C50" s="17">
        <f>C49/(1.4*C51/100)*100</f>
        <v>85.11845651865512</v>
      </c>
      <c r="D50" s="17">
        <f>D49/(C49*D51/100)*100</f>
        <v>140.74074074074073</v>
      </c>
      <c r="E50" s="17">
        <f>E49/(D49*E51/100)*100</f>
        <v>112.39798660997897</v>
      </c>
      <c r="F50" s="54">
        <v>103</v>
      </c>
      <c r="G50" s="54">
        <v>100</v>
      </c>
      <c r="H50" s="54">
        <v>100.5</v>
      </c>
      <c r="I50" s="54">
        <v>100</v>
      </c>
      <c r="J50" s="54">
        <v>102</v>
      </c>
      <c r="K50" s="54">
        <v>101</v>
      </c>
    </row>
    <row r="51" spans="1:11" ht="46.5" customHeight="1">
      <c r="A51" s="109" t="s">
        <v>47</v>
      </c>
      <c r="B51" s="10" t="s">
        <v>43</v>
      </c>
      <c r="C51" s="17">
        <v>100.7</v>
      </c>
      <c r="D51" s="54">
        <v>112.5</v>
      </c>
      <c r="E51" s="54">
        <v>107.7</v>
      </c>
      <c r="F51" s="54">
        <v>104.6</v>
      </c>
      <c r="G51" s="54">
        <v>107.4</v>
      </c>
      <c r="H51" s="54">
        <v>106.8</v>
      </c>
      <c r="I51" s="54">
        <v>106.1</v>
      </c>
      <c r="J51" s="54">
        <v>105.9</v>
      </c>
      <c r="K51" s="54">
        <v>105.1</v>
      </c>
    </row>
    <row r="52" spans="1:11" ht="13.5" customHeight="1" thickBot="1">
      <c r="A52" s="110"/>
      <c r="B52" s="9" t="s">
        <v>44</v>
      </c>
      <c r="C52" s="18"/>
      <c r="D52" s="20"/>
      <c r="E52" s="20"/>
      <c r="F52" s="18"/>
      <c r="G52" s="55"/>
      <c r="H52" s="55"/>
      <c r="I52" s="55"/>
      <c r="J52" s="18"/>
      <c r="K52" s="18"/>
    </row>
    <row r="53" spans="1:11" ht="75" customHeight="1" thickBot="1">
      <c r="A53" s="7" t="s">
        <v>48</v>
      </c>
      <c r="B53" s="9" t="s">
        <v>24</v>
      </c>
      <c r="C53" s="17">
        <v>0</v>
      </c>
      <c r="D53" s="18">
        <v>0</v>
      </c>
      <c r="E53" s="17">
        <v>0</v>
      </c>
      <c r="F53" s="17">
        <f>E53*F54/100*F56/100</f>
        <v>0</v>
      </c>
      <c r="G53" s="17">
        <f>E53*G54/100*G56/100</f>
        <v>0</v>
      </c>
      <c r="H53" s="17">
        <f>F53*H54/100*H56/100</f>
        <v>0</v>
      </c>
      <c r="I53" s="17">
        <f>G53*I54/100*I56/100</f>
        <v>0</v>
      </c>
      <c r="J53" s="17">
        <f>H53*J54/100*J56/100</f>
        <v>0</v>
      </c>
      <c r="K53" s="17">
        <f>I53*K54/100*K56/100</f>
        <v>0</v>
      </c>
    </row>
    <row r="54" spans="1:11" ht="50.25" customHeight="1">
      <c r="A54" s="109" t="s">
        <v>49</v>
      </c>
      <c r="B54" s="10" t="s">
        <v>43</v>
      </c>
      <c r="C54" s="17">
        <v>0</v>
      </c>
      <c r="D54" s="17">
        <v>0</v>
      </c>
      <c r="E54" s="18">
        <v>0</v>
      </c>
      <c r="F54" s="56">
        <v>97</v>
      </c>
      <c r="G54" s="56">
        <v>0</v>
      </c>
      <c r="H54" s="56">
        <v>100.8</v>
      </c>
      <c r="I54" s="56">
        <v>0</v>
      </c>
      <c r="J54" s="56">
        <v>101.1</v>
      </c>
      <c r="K54" s="56">
        <v>0</v>
      </c>
    </row>
    <row r="55" spans="1:11" ht="12.75" customHeight="1" thickBot="1">
      <c r="A55" s="110"/>
      <c r="B55" s="9" t="s">
        <v>44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48.75" customHeight="1">
      <c r="A56" s="109" t="s">
        <v>50</v>
      </c>
      <c r="B56" s="10" t="s">
        <v>43</v>
      </c>
      <c r="C56" s="108">
        <v>0</v>
      </c>
      <c r="D56" s="54">
        <v>0</v>
      </c>
      <c r="E56" s="54">
        <v>0</v>
      </c>
      <c r="F56" s="54">
        <v>103.5</v>
      </c>
      <c r="G56" s="54">
        <v>0</v>
      </c>
      <c r="H56" s="54">
        <v>105.7</v>
      </c>
      <c r="I56" s="54">
        <v>0</v>
      </c>
      <c r="J56" s="54">
        <v>105.1</v>
      </c>
      <c r="K56" s="54">
        <v>0</v>
      </c>
    </row>
    <row r="57" spans="1:11" ht="13.5" customHeight="1" hidden="1" thickBot="1">
      <c r="A57" s="110"/>
      <c r="B57" s="9" t="s">
        <v>44</v>
      </c>
      <c r="C57" s="108"/>
      <c r="D57" s="55">
        <v>128.64264382026968</v>
      </c>
      <c r="E57" s="55">
        <v>110.10710709039755</v>
      </c>
      <c r="F57" s="55">
        <v>106.05602586612721</v>
      </c>
      <c r="G57" s="55">
        <v>105.9487470718681</v>
      </c>
      <c r="H57" s="55">
        <v>105.9487470718681</v>
      </c>
      <c r="I57" s="55">
        <v>105.9487470718681</v>
      </c>
      <c r="J57" s="55">
        <v>105.57643532988017</v>
      </c>
      <c r="K57" s="55">
        <v>105.57643532988017</v>
      </c>
    </row>
    <row r="58" spans="1:11" ht="63.75" customHeight="1" thickBot="1">
      <c r="A58" s="7" t="s">
        <v>51</v>
      </c>
      <c r="B58" s="9" t="s">
        <v>24</v>
      </c>
      <c r="C58" s="18" t="s">
        <v>164</v>
      </c>
      <c r="D58" s="18" t="s">
        <v>164</v>
      </c>
      <c r="E58" s="18" t="s">
        <v>164</v>
      </c>
      <c r="F58" s="18" t="s">
        <v>164</v>
      </c>
      <c r="G58" s="18" t="s">
        <v>164</v>
      </c>
      <c r="H58" s="18" t="s">
        <v>164</v>
      </c>
      <c r="I58" s="18" t="s">
        <v>164</v>
      </c>
      <c r="J58" s="18" t="s">
        <v>164</v>
      </c>
      <c r="K58" s="18" t="s">
        <v>164</v>
      </c>
    </row>
    <row r="59" spans="1:11" ht="36.75" customHeight="1" thickBot="1">
      <c r="A59" s="7" t="s">
        <v>52</v>
      </c>
      <c r="B59" s="9" t="s">
        <v>10</v>
      </c>
      <c r="C59" s="18" t="s">
        <v>164</v>
      </c>
      <c r="D59" s="18" t="s">
        <v>164</v>
      </c>
      <c r="E59" s="18" t="s">
        <v>164</v>
      </c>
      <c r="F59" s="18" t="s">
        <v>164</v>
      </c>
      <c r="G59" s="18" t="s">
        <v>164</v>
      </c>
      <c r="H59" s="18" t="s">
        <v>164</v>
      </c>
      <c r="I59" s="18" t="s">
        <v>164</v>
      </c>
      <c r="J59" s="18" t="s">
        <v>164</v>
      </c>
      <c r="K59" s="18" t="s">
        <v>164</v>
      </c>
    </row>
    <row r="60" spans="1:11" ht="33" customHeight="1" thickBot="1">
      <c r="A60" s="7" t="s">
        <v>53</v>
      </c>
      <c r="B60" s="9" t="s">
        <v>10</v>
      </c>
      <c r="C60" s="18" t="s">
        <v>164</v>
      </c>
      <c r="D60" s="18" t="s">
        <v>164</v>
      </c>
      <c r="E60" s="18" t="s">
        <v>164</v>
      </c>
      <c r="F60" s="18" t="s">
        <v>164</v>
      </c>
      <c r="G60" s="18" t="s">
        <v>164</v>
      </c>
      <c r="H60" s="18" t="s">
        <v>164</v>
      </c>
      <c r="I60" s="18" t="s">
        <v>164</v>
      </c>
      <c r="J60" s="18" t="s">
        <v>164</v>
      </c>
      <c r="K60" s="18" t="s">
        <v>164</v>
      </c>
    </row>
    <row r="61" spans="1:11" ht="73.5" customHeight="1" thickBot="1">
      <c r="A61" s="7" t="s">
        <v>54</v>
      </c>
      <c r="B61" s="9" t="s">
        <v>24</v>
      </c>
      <c r="C61" s="18">
        <v>0</v>
      </c>
      <c r="D61" s="17">
        <v>0</v>
      </c>
      <c r="E61" s="17" t="s">
        <v>164</v>
      </c>
      <c r="F61" s="17" t="s">
        <v>164</v>
      </c>
      <c r="G61" s="17" t="s">
        <v>164</v>
      </c>
      <c r="H61" s="17" t="s">
        <v>164</v>
      </c>
      <c r="I61" s="17" t="s">
        <v>164</v>
      </c>
      <c r="J61" s="17" t="s">
        <v>164</v>
      </c>
      <c r="K61" s="17" t="s">
        <v>164</v>
      </c>
    </row>
    <row r="62" spans="1:11" ht="48.75" customHeight="1" thickBot="1">
      <c r="A62" s="7" t="s">
        <v>55</v>
      </c>
      <c r="B62" s="9" t="s">
        <v>10</v>
      </c>
      <c r="C62" s="18" t="s">
        <v>164</v>
      </c>
      <c r="D62" s="18" t="s">
        <v>164</v>
      </c>
      <c r="E62" s="18" t="s">
        <v>164</v>
      </c>
      <c r="F62" s="18" t="s">
        <v>164</v>
      </c>
      <c r="G62" s="18" t="s">
        <v>164</v>
      </c>
      <c r="H62" s="18" t="s">
        <v>164</v>
      </c>
      <c r="I62" s="18" t="s">
        <v>164</v>
      </c>
      <c r="J62" s="18" t="s">
        <v>164</v>
      </c>
      <c r="K62" s="18" t="s">
        <v>164</v>
      </c>
    </row>
    <row r="63" spans="1:11" ht="49.5" customHeight="1" thickBot="1">
      <c r="A63" s="7" t="s">
        <v>56</v>
      </c>
      <c r="B63" s="9" t="s">
        <v>10</v>
      </c>
      <c r="C63" s="55" t="s">
        <v>164</v>
      </c>
      <c r="D63" s="18" t="s">
        <v>164</v>
      </c>
      <c r="E63" s="18" t="s">
        <v>164</v>
      </c>
      <c r="F63" s="18" t="s">
        <v>164</v>
      </c>
      <c r="G63" s="18" t="s">
        <v>164</v>
      </c>
      <c r="H63" s="18" t="s">
        <v>164</v>
      </c>
      <c r="I63" s="18" t="s">
        <v>164</v>
      </c>
      <c r="J63" s="18" t="s">
        <v>164</v>
      </c>
      <c r="K63" s="18" t="s">
        <v>164</v>
      </c>
    </row>
    <row r="64" spans="1:11" ht="78.75" customHeight="1" thickBot="1">
      <c r="A64" s="7" t="s">
        <v>57</v>
      </c>
      <c r="B64" s="9" t="s">
        <v>24</v>
      </c>
      <c r="C64" s="18">
        <v>0</v>
      </c>
      <c r="D64" s="17">
        <v>0</v>
      </c>
      <c r="E64" s="17">
        <v>0</v>
      </c>
      <c r="F64" s="17">
        <f>E64*F65/100*F66/100</f>
        <v>0</v>
      </c>
      <c r="G64" s="17">
        <f>E64*G65/100*G66/100</f>
        <v>0</v>
      </c>
      <c r="H64" s="17">
        <f>F64*H65/100*H66/100</f>
        <v>0</v>
      </c>
      <c r="I64" s="17">
        <f>G64*I65/100*I66/100</f>
        <v>0</v>
      </c>
      <c r="J64" s="17">
        <f>H64*J65/100*J66/100</f>
        <v>0</v>
      </c>
      <c r="K64" s="17">
        <f>I64*K65/100*K66/100</f>
        <v>0</v>
      </c>
    </row>
    <row r="65" spans="1:11" ht="46.5" customHeight="1" thickBot="1">
      <c r="A65" s="7" t="s">
        <v>58</v>
      </c>
      <c r="B65" s="9" t="s">
        <v>10</v>
      </c>
      <c r="C65" s="17">
        <v>0</v>
      </c>
      <c r="D65" s="17">
        <v>0</v>
      </c>
      <c r="E65" s="18">
        <v>0</v>
      </c>
      <c r="F65" s="18">
        <v>100</v>
      </c>
      <c r="G65" s="18">
        <v>0</v>
      </c>
      <c r="H65" s="18">
        <v>100</v>
      </c>
      <c r="I65" s="18">
        <v>0</v>
      </c>
      <c r="J65" s="18">
        <v>100</v>
      </c>
      <c r="K65" s="18">
        <v>0</v>
      </c>
    </row>
    <row r="66" spans="1:11" ht="48.75" customHeight="1" thickBot="1">
      <c r="A66" s="7" t="s">
        <v>59</v>
      </c>
      <c r="B66" s="9" t="s">
        <v>10</v>
      </c>
      <c r="C66" s="55">
        <v>0</v>
      </c>
      <c r="D66" s="54">
        <v>0</v>
      </c>
      <c r="E66" s="54">
        <v>0</v>
      </c>
      <c r="F66" s="54">
        <v>105.8</v>
      </c>
      <c r="G66" s="54">
        <v>0</v>
      </c>
      <c r="H66" s="54">
        <v>106</v>
      </c>
      <c r="I66" s="54">
        <v>0</v>
      </c>
      <c r="J66" s="54">
        <v>106.6</v>
      </c>
      <c r="K66" s="54">
        <v>0</v>
      </c>
    </row>
    <row r="67" spans="1:11" ht="77.25" customHeight="1" thickBot="1">
      <c r="A67" s="7" t="s">
        <v>60</v>
      </c>
      <c r="B67" s="9" t="s">
        <v>24</v>
      </c>
      <c r="C67" s="18">
        <v>0</v>
      </c>
      <c r="D67" s="43">
        <v>0</v>
      </c>
      <c r="E67" s="17">
        <f>D67*E68/100*E69/100</f>
        <v>0</v>
      </c>
      <c r="F67" s="17">
        <f>E67*F68/100*F69/100</f>
        <v>0</v>
      </c>
      <c r="G67" s="17">
        <f>E67*G68/100*G69/100</f>
        <v>0</v>
      </c>
      <c r="H67" s="17">
        <f>F67*H68/100*H69/100</f>
        <v>0</v>
      </c>
      <c r="I67" s="17">
        <f>G67*I68/100*I69/100</f>
        <v>0</v>
      </c>
      <c r="J67" s="17">
        <f>H67*J68/100*J69/100</f>
        <v>0</v>
      </c>
      <c r="K67" s="17">
        <f>I67*K68/100*K69/100</f>
        <v>0</v>
      </c>
    </row>
    <row r="68" spans="1:11" ht="45.75" customHeight="1" thickBot="1">
      <c r="A68" s="7" t="s">
        <v>61</v>
      </c>
      <c r="B68" s="9" t="s">
        <v>10</v>
      </c>
      <c r="C68" s="43" t="e">
        <f>C67/(5082.5*C69/100)*100</f>
        <v>#DIV/0!</v>
      </c>
      <c r="D68" s="43">
        <v>0</v>
      </c>
      <c r="E68" s="18">
        <v>0</v>
      </c>
      <c r="F68" s="18">
        <v>100.7</v>
      </c>
      <c r="G68" s="18">
        <v>0</v>
      </c>
      <c r="H68" s="18">
        <v>102</v>
      </c>
      <c r="I68" s="18">
        <v>0</v>
      </c>
      <c r="J68" s="18">
        <v>104</v>
      </c>
      <c r="K68" s="18">
        <v>0</v>
      </c>
    </row>
    <row r="69" spans="1:11" ht="45.75" customHeight="1" thickBot="1">
      <c r="A69" s="7" t="s">
        <v>62</v>
      </c>
      <c r="B69" s="9" t="s">
        <v>10</v>
      </c>
      <c r="C69" s="43">
        <v>0</v>
      </c>
      <c r="D69" s="55">
        <v>0</v>
      </c>
      <c r="E69" s="55">
        <v>0</v>
      </c>
      <c r="F69" s="55">
        <v>106</v>
      </c>
      <c r="G69" s="55">
        <v>0</v>
      </c>
      <c r="H69" s="55">
        <v>107.8</v>
      </c>
      <c r="I69" s="55">
        <v>0</v>
      </c>
      <c r="J69" s="55">
        <v>108.3</v>
      </c>
      <c r="K69" s="55">
        <v>0</v>
      </c>
    </row>
    <row r="70" spans="1:11" ht="75" customHeight="1" thickBot="1">
      <c r="A70" s="7" t="s">
        <v>63</v>
      </c>
      <c r="B70" s="9" t="s">
        <v>24</v>
      </c>
      <c r="C70" s="17">
        <v>0</v>
      </c>
      <c r="D70" s="17">
        <v>0</v>
      </c>
      <c r="E70" s="17">
        <v>0</v>
      </c>
      <c r="F70" s="17">
        <f>E70*F71/100*F72/100</f>
        <v>0</v>
      </c>
      <c r="G70" s="17">
        <f>E70*G71/100*G72/100</f>
        <v>0</v>
      </c>
      <c r="H70" s="17">
        <f>F70*H71/100*H72/100</f>
        <v>0</v>
      </c>
      <c r="I70" s="17">
        <f>G70*I71/100*I72/100</f>
        <v>0</v>
      </c>
      <c r="J70" s="17">
        <f>H70*J71/100*J72/100</f>
        <v>0</v>
      </c>
      <c r="K70" s="17">
        <f>I70*K71/100*K72/100</f>
        <v>0</v>
      </c>
    </row>
    <row r="71" spans="1:11" ht="47.25" customHeight="1" thickBot="1">
      <c r="A71" s="7" t="s">
        <v>64</v>
      </c>
      <c r="B71" s="9" t="s">
        <v>10</v>
      </c>
      <c r="C71" s="17">
        <v>0</v>
      </c>
      <c r="D71" s="17">
        <v>0</v>
      </c>
      <c r="E71" s="18">
        <v>0</v>
      </c>
      <c r="F71" s="56">
        <v>101.3</v>
      </c>
      <c r="G71" s="56">
        <v>0</v>
      </c>
      <c r="H71" s="56">
        <v>100.1</v>
      </c>
      <c r="I71" s="56">
        <v>0</v>
      </c>
      <c r="J71" s="56">
        <v>101.1</v>
      </c>
      <c r="K71" s="56">
        <v>0</v>
      </c>
    </row>
    <row r="72" spans="1:11" ht="45.75" customHeight="1" thickBot="1">
      <c r="A72" s="7" t="s">
        <v>65</v>
      </c>
      <c r="B72" s="9" t="s">
        <v>10</v>
      </c>
      <c r="C72" s="17">
        <v>0</v>
      </c>
      <c r="D72" s="56">
        <v>0</v>
      </c>
      <c r="E72" s="56">
        <v>0</v>
      </c>
      <c r="F72" s="56">
        <v>105.2</v>
      </c>
      <c r="G72" s="56">
        <v>0</v>
      </c>
      <c r="H72" s="56">
        <v>106.5</v>
      </c>
      <c r="I72" s="56">
        <v>0</v>
      </c>
      <c r="J72" s="56">
        <v>105.5</v>
      </c>
      <c r="K72" s="56">
        <v>0</v>
      </c>
    </row>
    <row r="73" spans="1:11" ht="83.25" customHeight="1" thickBot="1">
      <c r="A73" s="7" t="s">
        <v>66</v>
      </c>
      <c r="B73" s="9" t="s">
        <v>24</v>
      </c>
      <c r="C73" s="18">
        <v>0</v>
      </c>
      <c r="D73" s="18">
        <v>0</v>
      </c>
      <c r="E73" s="17">
        <v>0</v>
      </c>
      <c r="F73" s="17">
        <f>E73*F74/100*F75/100</f>
        <v>0</v>
      </c>
      <c r="G73" s="17">
        <f>E73*G74/100*G75/100</f>
        <v>0</v>
      </c>
      <c r="H73" s="17">
        <f>F73*H74/100*H75/100</f>
        <v>0</v>
      </c>
      <c r="I73" s="17">
        <f>G73*I74/100*I75/100</f>
        <v>0</v>
      </c>
      <c r="J73" s="17">
        <f>H73*J74/100*J75/100</f>
        <v>0</v>
      </c>
      <c r="K73" s="17">
        <f>I73*K74/100*K75/100</f>
        <v>0</v>
      </c>
    </row>
    <row r="74" spans="1:11" ht="49.5" customHeight="1" thickBot="1">
      <c r="A74" s="7" t="s">
        <v>67</v>
      </c>
      <c r="B74" s="9" t="s">
        <v>10</v>
      </c>
      <c r="C74" s="43">
        <v>0</v>
      </c>
      <c r="D74" s="17">
        <v>0</v>
      </c>
      <c r="E74" s="18">
        <v>0</v>
      </c>
      <c r="F74" s="18">
        <v>100</v>
      </c>
      <c r="G74" s="18">
        <v>0</v>
      </c>
      <c r="H74" s="18">
        <v>100</v>
      </c>
      <c r="I74" s="18">
        <v>0</v>
      </c>
      <c r="J74" s="18">
        <v>100</v>
      </c>
      <c r="K74" s="18">
        <v>0</v>
      </c>
    </row>
    <row r="75" spans="1:11" ht="49.5" customHeight="1" thickBot="1">
      <c r="A75" s="7" t="s">
        <v>68</v>
      </c>
      <c r="B75" s="9" t="s">
        <v>10</v>
      </c>
      <c r="C75" s="43">
        <v>0</v>
      </c>
      <c r="D75" s="56">
        <v>0</v>
      </c>
      <c r="E75" s="56">
        <v>0</v>
      </c>
      <c r="F75" s="56">
        <v>105.2</v>
      </c>
      <c r="G75" s="56">
        <v>0</v>
      </c>
      <c r="H75" s="56">
        <v>106.5</v>
      </c>
      <c r="I75" s="56">
        <v>0</v>
      </c>
      <c r="J75" s="56">
        <v>105.5</v>
      </c>
      <c r="K75" s="56">
        <v>0</v>
      </c>
    </row>
    <row r="76" spans="1:11" ht="75.75" customHeight="1" thickBot="1">
      <c r="A76" s="7" t="s">
        <v>69</v>
      </c>
      <c r="B76" s="9" t="s">
        <v>24</v>
      </c>
      <c r="C76" s="18" t="s">
        <v>164</v>
      </c>
      <c r="D76" s="18" t="s">
        <v>164</v>
      </c>
      <c r="E76" s="18" t="s">
        <v>164</v>
      </c>
      <c r="F76" s="18" t="s">
        <v>164</v>
      </c>
      <c r="G76" s="18" t="s">
        <v>164</v>
      </c>
      <c r="H76" s="18" t="s">
        <v>164</v>
      </c>
      <c r="I76" s="18" t="s">
        <v>164</v>
      </c>
      <c r="J76" s="18" t="s">
        <v>164</v>
      </c>
      <c r="K76" s="18" t="s">
        <v>164</v>
      </c>
    </row>
    <row r="77" spans="1:11" ht="46.5" customHeight="1" thickBot="1">
      <c r="A77" s="7" t="s">
        <v>70</v>
      </c>
      <c r="B77" s="9" t="s">
        <v>10</v>
      </c>
      <c r="C77" s="18" t="s">
        <v>164</v>
      </c>
      <c r="D77" s="18" t="s">
        <v>164</v>
      </c>
      <c r="E77" s="18" t="s">
        <v>164</v>
      </c>
      <c r="F77" s="18" t="s">
        <v>164</v>
      </c>
      <c r="G77" s="18" t="s">
        <v>164</v>
      </c>
      <c r="H77" s="18" t="s">
        <v>164</v>
      </c>
      <c r="I77" s="18" t="s">
        <v>164</v>
      </c>
      <c r="J77" s="18" t="s">
        <v>164</v>
      </c>
      <c r="K77" s="18" t="s">
        <v>164</v>
      </c>
    </row>
    <row r="78" spans="1:11" ht="50.25" customHeight="1" thickBot="1">
      <c r="A78" s="7" t="s">
        <v>71</v>
      </c>
      <c r="B78" s="9" t="s">
        <v>10</v>
      </c>
      <c r="C78" s="18" t="s">
        <v>164</v>
      </c>
      <c r="D78" s="18" t="s">
        <v>164</v>
      </c>
      <c r="E78" s="18" t="s">
        <v>164</v>
      </c>
      <c r="F78" s="18" t="s">
        <v>164</v>
      </c>
      <c r="G78" s="18" t="s">
        <v>164</v>
      </c>
      <c r="H78" s="18" t="s">
        <v>164</v>
      </c>
      <c r="I78" s="18" t="s">
        <v>164</v>
      </c>
      <c r="J78" s="18" t="s">
        <v>164</v>
      </c>
      <c r="K78" s="18" t="s">
        <v>164</v>
      </c>
    </row>
    <row r="79" spans="1:11" ht="63.75" customHeight="1" thickBot="1">
      <c r="A79" s="7" t="s">
        <v>72</v>
      </c>
      <c r="B79" s="9" t="s">
        <v>24</v>
      </c>
      <c r="C79" s="18">
        <v>0</v>
      </c>
      <c r="D79" s="18">
        <v>0</v>
      </c>
      <c r="E79" s="17">
        <v>0</v>
      </c>
      <c r="F79" s="17">
        <f>E79*F80/100*F81/100</f>
        <v>0</v>
      </c>
      <c r="G79" s="17">
        <v>0</v>
      </c>
      <c r="H79" s="17">
        <f>F79*H80/100*H81/100</f>
        <v>0</v>
      </c>
      <c r="I79" s="17">
        <f>G79*I80/100*I81/100</f>
        <v>0</v>
      </c>
      <c r="J79" s="17">
        <f>H79*J80/100*J81/100</f>
        <v>0</v>
      </c>
      <c r="K79" s="17">
        <f>I79*K80/100*K81/100</f>
        <v>0</v>
      </c>
    </row>
    <row r="80" spans="1:11" ht="36.75" customHeight="1" thickBot="1">
      <c r="A80" s="7" t="s">
        <v>73</v>
      </c>
      <c r="B80" s="9" t="s">
        <v>10</v>
      </c>
      <c r="C80" s="17">
        <v>0</v>
      </c>
      <c r="D80" s="17">
        <v>0</v>
      </c>
      <c r="E80" s="17">
        <v>0</v>
      </c>
      <c r="F80" s="18">
        <v>100</v>
      </c>
      <c r="G80" s="18">
        <v>0</v>
      </c>
      <c r="H80" s="18">
        <v>100</v>
      </c>
      <c r="I80" s="18">
        <v>0</v>
      </c>
      <c r="J80" s="18">
        <v>100</v>
      </c>
      <c r="K80" s="18">
        <v>0</v>
      </c>
    </row>
    <row r="81" spans="1:11" ht="42.75" customHeight="1" thickBot="1">
      <c r="A81" s="7" t="s">
        <v>74</v>
      </c>
      <c r="B81" s="9" t="s">
        <v>10</v>
      </c>
      <c r="C81" s="55">
        <v>0</v>
      </c>
      <c r="D81" s="54">
        <v>0</v>
      </c>
      <c r="E81" s="54">
        <v>0</v>
      </c>
      <c r="F81" s="54">
        <v>106.3</v>
      </c>
      <c r="G81" s="54">
        <v>0</v>
      </c>
      <c r="H81" s="54">
        <v>106.2</v>
      </c>
      <c r="I81" s="54">
        <v>0</v>
      </c>
      <c r="J81" s="54">
        <v>105.6</v>
      </c>
      <c r="K81" s="54">
        <v>0</v>
      </c>
    </row>
    <row r="82" spans="1:11" ht="45.75" customHeight="1" thickBot="1">
      <c r="A82" s="7" t="s">
        <v>75</v>
      </c>
      <c r="B82" s="9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75" customHeight="1" thickBot="1">
      <c r="A83" s="7" t="s">
        <v>76</v>
      </c>
      <c r="B83" s="9" t="s">
        <v>24</v>
      </c>
      <c r="C83" s="18">
        <v>30</v>
      </c>
      <c r="D83" s="18">
        <v>31</v>
      </c>
      <c r="E83" s="17">
        <v>33</v>
      </c>
      <c r="F83" s="17">
        <f>E83*F84/100*F85/100</f>
        <v>36.359136</v>
      </c>
      <c r="G83" s="17">
        <f>E83*G84/100*G85/100</f>
        <v>35.203244999999995</v>
      </c>
      <c r="H83" s="17">
        <f>F83*H84/100*H85/100</f>
        <v>40.052351598336</v>
      </c>
      <c r="I83" s="17">
        <f>G83*I84/100*I85/100</f>
        <v>37.3154397</v>
      </c>
      <c r="J83" s="17">
        <f>H83*J84/100*J85/100</f>
        <v>43.64200355798527</v>
      </c>
      <c r="K83" s="17">
        <f>I83*K84/100*K85/100</f>
        <v>39.181211685</v>
      </c>
    </row>
    <row r="84" spans="1:11" ht="45.75" thickBot="1">
      <c r="A84" s="7" t="s">
        <v>77</v>
      </c>
      <c r="B84" s="9" t="s">
        <v>10</v>
      </c>
      <c r="C84" s="17">
        <v>140.60819485390454</v>
      </c>
      <c r="D84" s="17">
        <f>D83/(C83*D85/100)*100</f>
        <v>91.85185185185185</v>
      </c>
      <c r="E84" s="18">
        <v>94.5</v>
      </c>
      <c r="F84" s="18">
        <v>99.8</v>
      </c>
      <c r="G84" s="18">
        <v>101.5</v>
      </c>
      <c r="H84" s="18">
        <v>99.6</v>
      </c>
      <c r="I84" s="18">
        <v>100</v>
      </c>
      <c r="J84" s="18">
        <v>99.6</v>
      </c>
      <c r="K84" s="18">
        <v>100</v>
      </c>
    </row>
    <row r="85" spans="1:11" ht="80.25" customHeight="1" thickBot="1">
      <c r="A85" s="7" t="s">
        <v>78</v>
      </c>
      <c r="B85" s="9" t="s">
        <v>10</v>
      </c>
      <c r="C85" s="18">
        <v>110</v>
      </c>
      <c r="D85" s="18">
        <v>112.5</v>
      </c>
      <c r="E85" s="54">
        <v>106.6</v>
      </c>
      <c r="F85" s="54">
        <v>110.4</v>
      </c>
      <c r="G85" s="54">
        <v>105.1</v>
      </c>
      <c r="H85" s="54">
        <v>110.6</v>
      </c>
      <c r="I85" s="54">
        <v>106</v>
      </c>
      <c r="J85" s="54">
        <v>109.4</v>
      </c>
      <c r="K85" s="54">
        <v>105</v>
      </c>
    </row>
    <row r="86" spans="1:11" ht="74.25" customHeight="1" thickBot="1">
      <c r="A86" s="7" t="s">
        <v>79</v>
      </c>
      <c r="B86" s="9" t="s">
        <v>24</v>
      </c>
      <c r="C86" s="18" t="s">
        <v>164</v>
      </c>
      <c r="D86" s="18" t="s">
        <v>164</v>
      </c>
      <c r="E86" s="18" t="s">
        <v>164</v>
      </c>
      <c r="F86" s="18" t="s">
        <v>164</v>
      </c>
      <c r="G86" s="18" t="s">
        <v>164</v>
      </c>
      <c r="H86" s="18" t="s">
        <v>164</v>
      </c>
      <c r="I86" s="18" t="s">
        <v>164</v>
      </c>
      <c r="J86" s="18" t="s">
        <v>164</v>
      </c>
      <c r="K86" s="18" t="s">
        <v>164</v>
      </c>
    </row>
    <row r="87" spans="1:11" ht="46.5" customHeight="1" thickBot="1">
      <c r="A87" s="7" t="s">
        <v>80</v>
      </c>
      <c r="B87" s="9" t="s">
        <v>10</v>
      </c>
      <c r="C87" s="18" t="s">
        <v>164</v>
      </c>
      <c r="D87" s="18" t="s">
        <v>164</v>
      </c>
      <c r="E87" s="18" t="s">
        <v>164</v>
      </c>
      <c r="F87" s="18" t="s">
        <v>164</v>
      </c>
      <c r="G87" s="18" t="s">
        <v>164</v>
      </c>
      <c r="H87" s="18" t="s">
        <v>164</v>
      </c>
      <c r="I87" s="18" t="s">
        <v>164</v>
      </c>
      <c r="J87" s="18" t="s">
        <v>164</v>
      </c>
      <c r="K87" s="18" t="s">
        <v>164</v>
      </c>
    </row>
    <row r="88" spans="1:11" ht="40.5" customHeight="1" thickBot="1">
      <c r="A88" s="7" t="s">
        <v>81</v>
      </c>
      <c r="B88" s="9" t="s">
        <v>10</v>
      </c>
      <c r="C88" s="18" t="s">
        <v>164</v>
      </c>
      <c r="D88" s="18" t="s">
        <v>164</v>
      </c>
      <c r="E88" s="18" t="s">
        <v>164</v>
      </c>
      <c r="F88" s="18" t="s">
        <v>164</v>
      </c>
      <c r="G88" s="18" t="s">
        <v>164</v>
      </c>
      <c r="H88" s="18" t="s">
        <v>164</v>
      </c>
      <c r="I88" s="18" t="s">
        <v>164</v>
      </c>
      <c r="J88" s="18" t="s">
        <v>164</v>
      </c>
      <c r="K88" s="18" t="s">
        <v>164</v>
      </c>
    </row>
    <row r="89" spans="1:11" ht="24.75" customHeight="1" thickBot="1">
      <c r="A89" s="6" t="s">
        <v>82</v>
      </c>
      <c r="B89" s="9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57" customHeight="1" thickBot="1">
      <c r="A90" s="7" t="s">
        <v>83</v>
      </c>
      <c r="B90" s="9" t="s">
        <v>24</v>
      </c>
      <c r="C90" s="43">
        <v>0</v>
      </c>
      <c r="D90" s="43">
        <v>0</v>
      </c>
      <c r="E90" s="17">
        <v>0</v>
      </c>
      <c r="F90" s="17">
        <v>209.70405347397698</v>
      </c>
      <c r="G90" s="17">
        <v>0</v>
      </c>
      <c r="H90" s="17">
        <v>126.57597397772328</v>
      </c>
      <c r="I90" s="17">
        <v>0</v>
      </c>
      <c r="J90" s="17">
        <v>134.4159919021291</v>
      </c>
      <c r="K90" s="17">
        <v>0</v>
      </c>
    </row>
    <row r="91" spans="1:11" ht="51.75" customHeight="1" thickBot="1">
      <c r="A91" s="7" t="s">
        <v>84</v>
      </c>
      <c r="B91" s="9" t="s">
        <v>10</v>
      </c>
      <c r="C91" s="57">
        <v>0</v>
      </c>
      <c r="D91" s="43">
        <v>0</v>
      </c>
      <c r="E91" s="43">
        <v>0</v>
      </c>
      <c r="F91" s="17">
        <v>99.07275706508817</v>
      </c>
      <c r="G91" s="17">
        <v>0</v>
      </c>
      <c r="H91" s="17">
        <v>99.60976584827752</v>
      </c>
      <c r="I91" s="17">
        <v>0</v>
      </c>
      <c r="J91" s="17">
        <v>99.73458448971122</v>
      </c>
      <c r="K91" s="17">
        <v>0</v>
      </c>
    </row>
    <row r="92" spans="1:11" ht="51" customHeight="1" thickBot="1">
      <c r="A92" s="7" t="s">
        <v>85</v>
      </c>
      <c r="B92" s="9" t="s">
        <v>10</v>
      </c>
      <c r="C92" s="43">
        <v>0</v>
      </c>
      <c r="D92" s="43">
        <v>0</v>
      </c>
      <c r="E92" s="43">
        <v>0</v>
      </c>
      <c r="F92" s="17">
        <v>104.37062479444661</v>
      </c>
      <c r="G92" s="17">
        <v>0</v>
      </c>
      <c r="H92" s="17">
        <v>108.20674767122429</v>
      </c>
      <c r="I92" s="17">
        <v>0</v>
      </c>
      <c r="J92" s="17">
        <v>106.476527871955</v>
      </c>
      <c r="K92" s="17">
        <v>0</v>
      </c>
    </row>
    <row r="93" spans="1:11" ht="15.75" thickBot="1">
      <c r="A93" s="7" t="s">
        <v>86</v>
      </c>
      <c r="B93" s="9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60" customHeight="1" thickBot="1">
      <c r="A94" s="7" t="s">
        <v>87</v>
      </c>
      <c r="B94" s="9" t="s">
        <v>24</v>
      </c>
      <c r="C94" s="35">
        <v>0</v>
      </c>
      <c r="D94" s="17">
        <v>0</v>
      </c>
      <c r="E94" s="17">
        <f>D94*E95/100*E96/100</f>
        <v>0</v>
      </c>
      <c r="F94" s="17">
        <f>E94*F95/100*F96/100</f>
        <v>0</v>
      </c>
      <c r="G94" s="17">
        <f>E94*G95/100*G96/100</f>
        <v>0</v>
      </c>
      <c r="H94" s="17">
        <f>F94*H95/100*H96/100</f>
        <v>0</v>
      </c>
      <c r="I94" s="17">
        <f>G94*I95/100*I96/100</f>
        <v>0</v>
      </c>
      <c r="J94" s="17">
        <f>H94*J95/100*J96/100</f>
        <v>0</v>
      </c>
      <c r="K94" s="17">
        <f>I94*K95/100*K96/100</f>
        <v>0</v>
      </c>
    </row>
    <row r="95" spans="1:11" ht="45" customHeight="1" thickBot="1">
      <c r="A95" s="7" t="s">
        <v>88</v>
      </c>
      <c r="B95" s="9" t="s">
        <v>89</v>
      </c>
      <c r="C95" s="37">
        <v>0</v>
      </c>
      <c r="D95" s="17">
        <v>0</v>
      </c>
      <c r="E95" s="54">
        <v>0</v>
      </c>
      <c r="F95" s="54">
        <v>99</v>
      </c>
      <c r="G95" s="54">
        <v>0</v>
      </c>
      <c r="H95" s="54">
        <v>99.5</v>
      </c>
      <c r="I95" s="54">
        <v>0</v>
      </c>
      <c r="J95" s="54">
        <v>99.6</v>
      </c>
      <c r="K95" s="54">
        <v>0</v>
      </c>
    </row>
    <row r="96" spans="1:11" ht="49.5" customHeight="1" thickBot="1">
      <c r="A96" s="7" t="s">
        <v>90</v>
      </c>
      <c r="B96" s="9" t="s">
        <v>89</v>
      </c>
      <c r="C96" s="17">
        <v>0</v>
      </c>
      <c r="D96" s="54">
        <v>0</v>
      </c>
      <c r="E96" s="54">
        <v>0</v>
      </c>
      <c r="F96" s="54">
        <v>104.4</v>
      </c>
      <c r="G96" s="54">
        <v>0</v>
      </c>
      <c r="H96" s="54">
        <v>108.6</v>
      </c>
      <c r="I96" s="54">
        <v>0</v>
      </c>
      <c r="J96" s="54">
        <v>106.7</v>
      </c>
      <c r="K96" s="54">
        <v>0</v>
      </c>
    </row>
    <row r="97" spans="1:11" ht="16.5" customHeight="1" thickBot="1">
      <c r="A97" s="7" t="s">
        <v>91</v>
      </c>
      <c r="B97" s="9" t="s">
        <v>24</v>
      </c>
      <c r="C97" s="18">
        <v>0</v>
      </c>
      <c r="D97" s="17">
        <v>0</v>
      </c>
      <c r="E97" s="17">
        <f>D97*E98/100*E99/100</f>
        <v>0</v>
      </c>
      <c r="F97" s="17">
        <f>E97*F98/100*F99/100</f>
        <v>0</v>
      </c>
      <c r="G97" s="17">
        <f>E97*G98/100*G99/100</f>
        <v>0</v>
      </c>
      <c r="H97" s="17">
        <f>F97*H98/100*H99/100</f>
        <v>0</v>
      </c>
      <c r="I97" s="17">
        <f>G97*I98/100*I99/100</f>
        <v>0</v>
      </c>
      <c r="J97" s="17">
        <f>H97*J98/100*J99/100</f>
        <v>0</v>
      </c>
      <c r="K97" s="17">
        <f>I97*K98/100*K99/100</f>
        <v>0</v>
      </c>
    </row>
    <row r="98" spans="1:11" ht="44.25" customHeight="1" thickBot="1">
      <c r="A98" s="7" t="s">
        <v>92</v>
      </c>
      <c r="B98" s="9" t="s">
        <v>89</v>
      </c>
      <c r="C98" s="18">
        <v>0</v>
      </c>
      <c r="D98" s="54">
        <v>0</v>
      </c>
      <c r="E98" s="54">
        <v>0</v>
      </c>
      <c r="F98" s="54">
        <v>100</v>
      </c>
      <c r="G98" s="54">
        <v>0</v>
      </c>
      <c r="H98" s="54">
        <v>101</v>
      </c>
      <c r="I98" s="54">
        <v>0</v>
      </c>
      <c r="J98" s="54">
        <v>101.5</v>
      </c>
      <c r="K98" s="54">
        <v>0</v>
      </c>
    </row>
    <row r="99" spans="1:11" ht="44.25" customHeight="1" thickBot="1">
      <c r="A99" s="7" t="s">
        <v>93</v>
      </c>
      <c r="B99" s="9" t="s">
        <v>89</v>
      </c>
      <c r="C99" s="55">
        <v>0</v>
      </c>
      <c r="D99" s="54">
        <v>0</v>
      </c>
      <c r="E99" s="54">
        <v>0</v>
      </c>
      <c r="F99" s="54">
        <v>104</v>
      </c>
      <c r="G99" s="54">
        <v>0</v>
      </c>
      <c r="H99" s="54">
        <v>103.3</v>
      </c>
      <c r="I99" s="54">
        <v>0</v>
      </c>
      <c r="J99" s="54">
        <v>103.6</v>
      </c>
      <c r="K99" s="54">
        <v>0</v>
      </c>
    </row>
    <row r="100" spans="1:11" ht="31.5" customHeight="1" thickBot="1">
      <c r="A100" s="6" t="s">
        <v>94</v>
      </c>
      <c r="B100" s="9"/>
      <c r="C100" s="43">
        <f aca="true" t="shared" si="3" ref="C100:K100">(C108)/C13</f>
        <v>0.4366197183098592</v>
      </c>
      <c r="D100" s="43">
        <f t="shared" si="3"/>
        <v>0.45410760974267234</v>
      </c>
      <c r="E100" s="43">
        <f t="shared" si="3"/>
        <v>0.48787993352721226</v>
      </c>
      <c r="F100" s="43">
        <f t="shared" si="3"/>
        <v>0.08296389492052401</v>
      </c>
      <c r="G100" s="43">
        <f t="shared" si="3"/>
        <v>0.5185323349047286</v>
      </c>
      <c r="H100" s="43">
        <f t="shared" si="3"/>
        <v>0.09105068560576389</v>
      </c>
      <c r="I100" s="43">
        <f t="shared" si="3"/>
        <v>0.5513751923217836</v>
      </c>
      <c r="J100" s="43">
        <f t="shared" si="3"/>
        <v>0.09955402064600002</v>
      </c>
      <c r="K100" s="43">
        <f t="shared" si="3"/>
        <v>0.5867447067918145</v>
      </c>
    </row>
    <row r="101" spans="1:11" ht="31.5" customHeight="1" thickBot="1">
      <c r="A101" s="6"/>
      <c r="B101" s="9"/>
      <c r="C101" s="43" t="e">
        <f>PRODUCT(C102,100/C104)</f>
        <v>#DIV/0!</v>
      </c>
      <c r="D101" s="43" t="e">
        <f>PRODUCT(D102,100/D104)</f>
        <v>#DIV/0!</v>
      </c>
      <c r="E101" s="43" t="e">
        <f>PRODUCT(E102,100/E104)</f>
        <v>#DIV/0!</v>
      </c>
      <c r="F101" s="43">
        <f aca="true" t="shared" si="4" ref="F101:K101">PRODUCT(F102,100/F104)</f>
        <v>0</v>
      </c>
      <c r="G101" s="43" t="e">
        <f t="shared" si="4"/>
        <v>#DIV/0!</v>
      </c>
      <c r="H101" s="43">
        <f t="shared" si="4"/>
        <v>0</v>
      </c>
      <c r="I101" s="43" t="e">
        <f t="shared" si="4"/>
        <v>#DIV/0!</v>
      </c>
      <c r="J101" s="43">
        <f t="shared" si="4"/>
        <v>0</v>
      </c>
      <c r="K101" s="43" t="e">
        <f t="shared" si="4"/>
        <v>#DIV/0!</v>
      </c>
    </row>
    <row r="102" spans="1:11" ht="54" customHeight="1" thickBot="1">
      <c r="A102" s="7" t="s">
        <v>95</v>
      </c>
      <c r="B102" s="9" t="s">
        <v>24</v>
      </c>
      <c r="C102" s="17">
        <v>0</v>
      </c>
      <c r="D102" s="17">
        <v>0</v>
      </c>
      <c r="E102" s="17">
        <v>0</v>
      </c>
      <c r="F102" s="17">
        <f>E102*F103/100*F104/100</f>
        <v>0</v>
      </c>
      <c r="G102" s="17">
        <v>0</v>
      </c>
      <c r="H102" s="17">
        <f>F102*H103/100*H104/100</f>
        <v>0</v>
      </c>
      <c r="I102" s="17">
        <f>G102*I103/100*I104/100</f>
        <v>0</v>
      </c>
      <c r="J102" s="17">
        <f>H102*J103/100*J104/100</f>
        <v>0</v>
      </c>
      <c r="K102" s="17">
        <f>I102*K103/100*K104/100</f>
        <v>0</v>
      </c>
    </row>
    <row r="103" spans="1:11" ht="46.5" customHeight="1" thickBot="1">
      <c r="A103" s="7" t="s">
        <v>96</v>
      </c>
      <c r="B103" s="9" t="s">
        <v>10</v>
      </c>
      <c r="C103" s="35">
        <v>0</v>
      </c>
      <c r="D103" s="35">
        <v>0</v>
      </c>
      <c r="E103" s="54">
        <v>0</v>
      </c>
      <c r="F103" s="54">
        <v>101.5</v>
      </c>
      <c r="G103" s="54">
        <v>0</v>
      </c>
      <c r="H103" s="54">
        <v>101.4</v>
      </c>
      <c r="I103" s="54">
        <v>0</v>
      </c>
      <c r="J103" s="54">
        <v>101.3</v>
      </c>
      <c r="K103" s="54">
        <v>0</v>
      </c>
    </row>
    <row r="104" spans="1:11" ht="45" customHeight="1" thickBot="1">
      <c r="A104" s="7" t="s">
        <v>97</v>
      </c>
      <c r="B104" s="9" t="s">
        <v>10</v>
      </c>
      <c r="C104" s="37">
        <v>0</v>
      </c>
      <c r="D104" s="37">
        <v>0</v>
      </c>
      <c r="E104" s="54">
        <v>0</v>
      </c>
      <c r="F104" s="54">
        <v>105</v>
      </c>
      <c r="G104" s="54">
        <v>0</v>
      </c>
      <c r="H104" s="54">
        <v>104.7</v>
      </c>
      <c r="I104" s="54">
        <v>0</v>
      </c>
      <c r="J104" s="54">
        <v>104.6</v>
      </c>
      <c r="K104" s="54">
        <v>0</v>
      </c>
    </row>
    <row r="105" spans="1:11" ht="53.25" customHeight="1" thickBot="1">
      <c r="A105" s="7" t="s">
        <v>98</v>
      </c>
      <c r="B105" s="9" t="s">
        <v>24</v>
      </c>
      <c r="C105" s="35">
        <v>0</v>
      </c>
      <c r="D105" s="17">
        <v>0</v>
      </c>
      <c r="E105" s="17">
        <f>D105*E106/100*E107/100</f>
        <v>0</v>
      </c>
      <c r="F105" s="17">
        <f>E105*F106/100*F107/100</f>
        <v>0</v>
      </c>
      <c r="G105" s="17">
        <f>E105*G106/100*G107/100</f>
        <v>0</v>
      </c>
      <c r="H105" s="17">
        <f>F105*H106/100*H107/100</f>
        <v>0</v>
      </c>
      <c r="I105" s="17">
        <f>G105*I106/100*I107/100</f>
        <v>0</v>
      </c>
      <c r="J105" s="17">
        <f>H105*J106/100*J107/100</f>
        <v>0</v>
      </c>
      <c r="K105" s="17">
        <f>I105*K106/100*K107/100</f>
        <v>0</v>
      </c>
    </row>
    <row r="106" spans="1:11" ht="57.75" customHeight="1" thickBot="1">
      <c r="A106" s="7" t="s">
        <v>99</v>
      </c>
      <c r="B106" s="9" t="s">
        <v>10</v>
      </c>
      <c r="C106" s="35">
        <v>0</v>
      </c>
      <c r="D106" s="35">
        <v>0</v>
      </c>
      <c r="E106" s="54">
        <v>0</v>
      </c>
      <c r="F106" s="54">
        <v>101.5</v>
      </c>
      <c r="G106" s="54">
        <v>0</v>
      </c>
      <c r="H106" s="54">
        <v>101</v>
      </c>
      <c r="I106" s="54">
        <v>0</v>
      </c>
      <c r="J106" s="54">
        <v>100.9</v>
      </c>
      <c r="K106" s="54">
        <v>0</v>
      </c>
    </row>
    <row r="107" spans="1:11" ht="57" customHeight="1" thickBot="1">
      <c r="A107" s="7" t="s">
        <v>100</v>
      </c>
      <c r="B107" s="9" t="s">
        <v>89</v>
      </c>
      <c r="C107" s="37">
        <v>0</v>
      </c>
      <c r="D107" s="57">
        <v>0</v>
      </c>
      <c r="E107" s="54">
        <v>0</v>
      </c>
      <c r="F107" s="54">
        <v>107.6</v>
      </c>
      <c r="G107" s="54">
        <v>0</v>
      </c>
      <c r="H107" s="54">
        <v>107</v>
      </c>
      <c r="I107" s="54">
        <v>0</v>
      </c>
      <c r="J107" s="54">
        <v>106.2</v>
      </c>
      <c r="K107" s="54">
        <v>0</v>
      </c>
    </row>
    <row r="108" spans="1:11" ht="57" customHeight="1" thickBot="1">
      <c r="A108" s="7" t="s">
        <v>101</v>
      </c>
      <c r="B108" s="9" t="s">
        <v>24</v>
      </c>
      <c r="C108" s="17">
        <v>3.1</v>
      </c>
      <c r="D108" s="17">
        <v>3.3</v>
      </c>
      <c r="E108" s="17">
        <f>D108*E109/100*E110/100</f>
        <v>3.5229809999999997</v>
      </c>
      <c r="F108" s="17">
        <f>E108*F109/100*F110/100</f>
        <v>3.79974638736</v>
      </c>
      <c r="G108" s="17">
        <f>E108*G109/100*G110/100</f>
        <v>3.728247487964999</v>
      </c>
      <c r="H108" s="17">
        <f>F108*H109/100*H110/100</f>
        <v>4.106385920819951</v>
      </c>
      <c r="I108" s="17">
        <f>G108*I109/100*I110/100</f>
        <v>3.9649390079859455</v>
      </c>
      <c r="J108" s="17">
        <f>H108*J109/100*J110/100</f>
        <v>4.430153918747001</v>
      </c>
      <c r="K108" s="17">
        <f>I108*K109/100*K110/100</f>
        <v>4.212826994765227</v>
      </c>
    </row>
    <row r="109" spans="1:11" ht="46.5" customHeight="1" thickBot="1">
      <c r="A109" s="7" t="s">
        <v>102</v>
      </c>
      <c r="B109" s="9" t="s">
        <v>89</v>
      </c>
      <c r="C109" s="37">
        <v>100.3</v>
      </c>
      <c r="D109" s="58">
        <v>100.5</v>
      </c>
      <c r="E109" s="59">
        <v>101</v>
      </c>
      <c r="F109" s="59">
        <v>100.8</v>
      </c>
      <c r="G109" s="60">
        <v>100.5</v>
      </c>
      <c r="H109" s="59">
        <v>101</v>
      </c>
      <c r="I109" s="60">
        <v>100.9</v>
      </c>
      <c r="J109" s="59">
        <v>101.3</v>
      </c>
      <c r="K109" s="60">
        <v>101</v>
      </c>
    </row>
    <row r="110" spans="1:11" ht="42.75" customHeight="1" thickBot="1">
      <c r="A110" s="7" t="s">
        <v>103</v>
      </c>
      <c r="B110" s="9" t="s">
        <v>89</v>
      </c>
      <c r="C110" s="18">
        <v>105.5</v>
      </c>
      <c r="D110" s="61">
        <v>107.3</v>
      </c>
      <c r="E110" s="87">
        <v>105.7</v>
      </c>
      <c r="F110" s="54">
        <v>107</v>
      </c>
      <c r="G110" s="54">
        <v>105.3</v>
      </c>
      <c r="H110" s="54">
        <v>107</v>
      </c>
      <c r="I110" s="54">
        <v>105.4</v>
      </c>
      <c r="J110" s="54">
        <v>106.5</v>
      </c>
      <c r="K110" s="54">
        <v>105.2</v>
      </c>
    </row>
    <row r="111" spans="1:11" ht="15.75" thickBot="1">
      <c r="A111" s="7" t="s">
        <v>86</v>
      </c>
      <c r="B111" s="9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53.25" customHeight="1" thickBot="1">
      <c r="A112" s="7" t="s">
        <v>104</v>
      </c>
      <c r="B112" s="9" t="s">
        <v>24</v>
      </c>
      <c r="C112" s="17">
        <v>2.2</v>
      </c>
      <c r="D112" s="17">
        <v>2.2</v>
      </c>
      <c r="E112" s="17">
        <v>2.7</v>
      </c>
      <c r="F112" s="17">
        <f>E112*F113/100*F114/100</f>
        <v>0.018777851528384282</v>
      </c>
      <c r="G112" s="17">
        <v>3</v>
      </c>
      <c r="H112" s="17">
        <f>F112*H113/100*H114/100</f>
        <v>0.00013288556749000284</v>
      </c>
      <c r="I112" s="17">
        <v>3</v>
      </c>
      <c r="J112" s="17">
        <f>H112*J113/100*J114/100</f>
        <v>9.55904117709884E-07</v>
      </c>
      <c r="K112" s="17">
        <v>3.3</v>
      </c>
    </row>
    <row r="113" spans="1:11" ht="63" customHeight="1" thickBot="1">
      <c r="A113" s="7" t="s">
        <v>105</v>
      </c>
      <c r="B113" s="9" t="s">
        <v>106</v>
      </c>
      <c r="C113" s="35">
        <v>109.2</v>
      </c>
      <c r="D113" s="62">
        <v>100.1</v>
      </c>
      <c r="E113" s="54">
        <v>101</v>
      </c>
      <c r="F113" s="54">
        <v>100.8</v>
      </c>
      <c r="G113" s="54">
        <v>100.5</v>
      </c>
      <c r="H113" s="54">
        <v>101</v>
      </c>
      <c r="I113" s="54">
        <v>100.9</v>
      </c>
      <c r="J113" s="54">
        <v>101.3</v>
      </c>
      <c r="K113" s="54">
        <v>101</v>
      </c>
    </row>
    <row r="114" spans="1:11" ht="24.75" customHeight="1" hidden="1" thickBot="1">
      <c r="A114" s="7"/>
      <c r="B114" s="9"/>
      <c r="C114" s="35">
        <f aca="true" t="shared" si="5" ref="C114:K114">C123*100/(C13*1000)</f>
        <v>0</v>
      </c>
      <c r="D114" s="35">
        <f t="shared" si="5"/>
        <v>0</v>
      </c>
      <c r="E114" s="35">
        <f t="shared" si="5"/>
        <v>0</v>
      </c>
      <c r="F114" s="35">
        <f t="shared" si="5"/>
        <v>0.6899563318777293</v>
      </c>
      <c r="G114" s="35">
        <f t="shared" si="5"/>
        <v>0</v>
      </c>
      <c r="H114" s="35">
        <f t="shared" si="5"/>
        <v>0.7006651884700665</v>
      </c>
      <c r="I114" s="35">
        <f t="shared" si="5"/>
        <v>0</v>
      </c>
      <c r="J114" s="35">
        <f t="shared" si="5"/>
        <v>0.7101123595505618</v>
      </c>
      <c r="K114" s="35">
        <f t="shared" si="5"/>
        <v>0</v>
      </c>
    </row>
    <row r="115" spans="1:11" ht="24.75" customHeight="1" hidden="1" thickBot="1">
      <c r="A115" s="7"/>
      <c r="B115" s="9"/>
      <c r="C115" s="35">
        <v>9.047275862068965</v>
      </c>
      <c r="D115" s="35">
        <f aca="true" t="shared" si="6" ref="D115:K115">D116*100/(D13*1000)</f>
        <v>13.76083665886886</v>
      </c>
      <c r="E115" s="35">
        <f t="shared" si="6"/>
        <v>15.233347181830771</v>
      </c>
      <c r="F115" s="35">
        <f t="shared" si="6"/>
        <v>1.0455807860262007</v>
      </c>
      <c r="G115" s="35">
        <f t="shared" si="6"/>
        <v>16.689847009735743</v>
      </c>
      <c r="H115" s="35">
        <f t="shared" si="6"/>
        <v>1.1353569844789357</v>
      </c>
      <c r="I115" s="35">
        <f t="shared" si="6"/>
        <v>18.07815324711445</v>
      </c>
      <c r="J115" s="35">
        <f t="shared" si="6"/>
        <v>1.1962112359550563</v>
      </c>
      <c r="K115" s="35">
        <f t="shared" si="6"/>
        <v>19.498607242339833</v>
      </c>
    </row>
    <row r="116" spans="1:11" ht="35.25" customHeight="1" thickBot="1">
      <c r="A116" s="6" t="s">
        <v>107</v>
      </c>
      <c r="B116" s="9"/>
      <c r="C116" s="64">
        <v>4197.936</v>
      </c>
      <c r="D116" s="64">
        <f aca="true" t="shared" si="7" ref="D116:K116">D118+D120+D123</f>
        <v>1000</v>
      </c>
      <c r="E116" s="64">
        <f>E118+E120+E123</f>
        <v>1100</v>
      </c>
      <c r="F116" s="64">
        <f t="shared" si="7"/>
        <v>478.876</v>
      </c>
      <c r="G116" s="64">
        <f t="shared" si="7"/>
        <v>1200</v>
      </c>
      <c r="H116" s="64">
        <f t="shared" si="7"/>
        <v>512.046</v>
      </c>
      <c r="I116" s="64">
        <f t="shared" si="7"/>
        <v>1300</v>
      </c>
      <c r="J116" s="64">
        <f t="shared" si="7"/>
        <v>532.3140000000001</v>
      </c>
      <c r="K116" s="64">
        <f t="shared" si="7"/>
        <v>1400</v>
      </c>
    </row>
    <row r="117" spans="1:11" ht="46.5" customHeight="1" thickBot="1">
      <c r="A117" s="7" t="s">
        <v>108</v>
      </c>
      <c r="B117" s="9" t="s">
        <v>109</v>
      </c>
      <c r="C117" s="47">
        <v>9</v>
      </c>
      <c r="D117" s="47">
        <v>9</v>
      </c>
      <c r="E117" s="46">
        <v>9</v>
      </c>
      <c r="F117" s="46">
        <f>E117+5</f>
        <v>14</v>
      </c>
      <c r="G117" s="46">
        <v>9</v>
      </c>
      <c r="H117" s="46">
        <f>F117+5</f>
        <v>19</v>
      </c>
      <c r="I117" s="46">
        <v>10</v>
      </c>
      <c r="J117" s="46">
        <f>H117+2</f>
        <v>21</v>
      </c>
      <c r="K117" s="47">
        <v>10</v>
      </c>
    </row>
    <row r="118" spans="1:11" ht="66.75" customHeight="1" thickBot="1">
      <c r="A118" s="7" t="s">
        <v>110</v>
      </c>
      <c r="B118" s="9" t="s">
        <v>9</v>
      </c>
      <c r="C118" s="47">
        <v>500</v>
      </c>
      <c r="D118" s="47">
        <v>500</v>
      </c>
      <c r="E118" s="47">
        <v>550</v>
      </c>
      <c r="F118" s="47">
        <f aca="true" t="shared" si="8" ref="E118:K118">F117*6.634</f>
        <v>92.876</v>
      </c>
      <c r="G118" s="47">
        <v>600</v>
      </c>
      <c r="H118" s="47">
        <f t="shared" si="8"/>
        <v>126.046</v>
      </c>
      <c r="I118" s="47">
        <v>650</v>
      </c>
      <c r="J118" s="47">
        <f t="shared" si="8"/>
        <v>139.31400000000002</v>
      </c>
      <c r="K118" s="47">
        <v>700</v>
      </c>
    </row>
    <row r="119" spans="1:11" ht="44.25" customHeight="1" thickBot="1">
      <c r="A119" s="7" t="s">
        <v>111</v>
      </c>
      <c r="B119" s="9" t="s">
        <v>9</v>
      </c>
      <c r="C119" s="18">
        <v>30</v>
      </c>
      <c r="D119" s="65">
        <v>30</v>
      </c>
      <c r="E119" s="18">
        <v>40</v>
      </c>
      <c r="F119" s="18">
        <f>E119+10</f>
        <v>50</v>
      </c>
      <c r="G119" s="18">
        <v>40</v>
      </c>
      <c r="H119" s="18">
        <f>G119+10</f>
        <v>50</v>
      </c>
      <c r="I119" s="18">
        <v>45</v>
      </c>
      <c r="J119" s="18">
        <f>I119+10</f>
        <v>55</v>
      </c>
      <c r="K119" s="18">
        <v>50</v>
      </c>
    </row>
    <row r="120" spans="1:11" ht="48" customHeight="1" thickBot="1">
      <c r="A120" s="7" t="s">
        <v>112</v>
      </c>
      <c r="B120" s="9" t="s">
        <v>9</v>
      </c>
      <c r="C120" s="18">
        <v>500</v>
      </c>
      <c r="D120" s="66">
        <v>500</v>
      </c>
      <c r="E120" s="66">
        <v>550</v>
      </c>
      <c r="F120" s="66">
        <f aca="true" t="shared" si="9" ref="E120:K120">F119*1.4</f>
        <v>70</v>
      </c>
      <c r="G120" s="66">
        <v>600</v>
      </c>
      <c r="H120" s="66">
        <f t="shared" si="9"/>
        <v>70</v>
      </c>
      <c r="I120" s="66">
        <v>650</v>
      </c>
      <c r="J120" s="66">
        <f t="shared" si="9"/>
        <v>77</v>
      </c>
      <c r="K120" s="66">
        <v>700</v>
      </c>
    </row>
    <row r="121" spans="1:11" ht="48" customHeight="1" hidden="1" thickBot="1">
      <c r="A121" s="7"/>
      <c r="B121" s="9"/>
      <c r="C121" s="36">
        <f>C119*100/(C13*1000)</f>
        <v>0.4225352112676056</v>
      </c>
      <c r="D121" s="36">
        <f>D120*100/(D13*1000)</f>
        <v>6.88041832943443</v>
      </c>
      <c r="E121" s="36">
        <f aca="true" t="shared" si="10" ref="E121:K121">E119*100/(E13*1000)</f>
        <v>0.5539398975211189</v>
      </c>
      <c r="F121" s="36">
        <f t="shared" si="10"/>
        <v>0.1091703056768559</v>
      </c>
      <c r="G121" s="36">
        <f t="shared" si="10"/>
        <v>0.5563282336578581</v>
      </c>
      <c r="H121" s="36">
        <f t="shared" si="10"/>
        <v>0.11086474501108648</v>
      </c>
      <c r="I121" s="36">
        <f t="shared" si="10"/>
        <v>0.6257822277847309</v>
      </c>
      <c r="J121" s="36">
        <f t="shared" si="10"/>
        <v>0.12359550561797752</v>
      </c>
      <c r="K121" s="36">
        <f t="shared" si="10"/>
        <v>0.6963788300835655</v>
      </c>
    </row>
    <row r="122" spans="1:11" ht="33" customHeight="1" thickBot="1">
      <c r="A122" s="7" t="s">
        <v>113</v>
      </c>
      <c r="B122" s="9" t="s">
        <v>109</v>
      </c>
      <c r="C122" s="18">
        <v>0</v>
      </c>
      <c r="D122" s="18">
        <v>0</v>
      </c>
      <c r="E122" s="18">
        <v>0</v>
      </c>
      <c r="F122" s="18">
        <v>4</v>
      </c>
      <c r="G122" s="18">
        <v>0</v>
      </c>
      <c r="H122" s="18">
        <v>4</v>
      </c>
      <c r="I122" s="18">
        <v>0</v>
      </c>
      <c r="J122" s="18">
        <v>4</v>
      </c>
      <c r="K122" s="18">
        <v>0</v>
      </c>
    </row>
    <row r="123" spans="1:11" ht="54" customHeight="1" thickBot="1">
      <c r="A123" s="7" t="s">
        <v>114</v>
      </c>
      <c r="B123" s="9" t="s">
        <v>9</v>
      </c>
      <c r="C123" s="18">
        <v>0</v>
      </c>
      <c r="D123" s="18">
        <v>0</v>
      </c>
      <c r="E123" s="18">
        <v>0</v>
      </c>
      <c r="F123" s="18">
        <f>79*F122</f>
        <v>316</v>
      </c>
      <c r="G123" s="18">
        <v>0</v>
      </c>
      <c r="H123" s="18">
        <f>79*H122</f>
        <v>316</v>
      </c>
      <c r="I123" s="18">
        <v>0</v>
      </c>
      <c r="J123" s="18">
        <f>79*J122</f>
        <v>316</v>
      </c>
      <c r="K123" s="18">
        <v>0</v>
      </c>
    </row>
    <row r="124" spans="1:11" ht="29.25" customHeight="1" thickBot="1">
      <c r="A124" s="6" t="s">
        <v>115</v>
      </c>
      <c r="B124" s="9"/>
      <c r="C124" s="83">
        <v>14322.894988066824</v>
      </c>
      <c r="D124" s="83">
        <f aca="true" t="shared" si="11" ref="D124:K124">(D139*1000*100)/(D164*1000)</f>
        <v>1601.8304336480903</v>
      </c>
      <c r="E124" s="83">
        <f t="shared" si="11"/>
        <v>1954.1024157382421</v>
      </c>
      <c r="F124" s="83">
        <f t="shared" si="11"/>
        <v>1909.8918242913596</v>
      </c>
      <c r="G124" s="83">
        <f t="shared" si="11"/>
        <v>2143.3230472603036</v>
      </c>
      <c r="H124" s="83">
        <f t="shared" si="11"/>
        <v>1878.5685705826422</v>
      </c>
      <c r="I124" s="83">
        <f t="shared" si="11"/>
        <v>2325.863007406758</v>
      </c>
      <c r="J124" s="83">
        <f t="shared" si="11"/>
        <v>19353.578302023216</v>
      </c>
      <c r="K124" s="83">
        <f t="shared" si="11"/>
        <v>2545.873854994651</v>
      </c>
    </row>
    <row r="125" spans="1:11" ht="29.25" customHeight="1" thickBot="1">
      <c r="A125" s="6"/>
      <c r="B125" s="9"/>
      <c r="C125" s="83">
        <f>PRODUCT(C126,100/C129)</f>
        <v>56.232427366447986</v>
      </c>
      <c r="D125" s="83">
        <f aca="true" t="shared" si="12" ref="D125:K125">PRODUCT(D126,100/D129)</f>
        <v>57.25190839694657</v>
      </c>
      <c r="E125" s="83">
        <f t="shared" si="12"/>
        <v>76.0306807286673</v>
      </c>
      <c r="F125" s="83">
        <f t="shared" si="12"/>
        <v>74.542</v>
      </c>
      <c r="G125" s="83">
        <f t="shared" si="12"/>
        <v>38.05899143672693</v>
      </c>
      <c r="H125" s="83">
        <f t="shared" si="12"/>
        <v>75.63925824</v>
      </c>
      <c r="I125" s="83">
        <f t="shared" si="12"/>
        <v>86.41975308641975</v>
      </c>
      <c r="J125" s="83">
        <f t="shared" si="12"/>
        <v>76.89789549711361</v>
      </c>
      <c r="K125" s="83">
        <f t="shared" si="12"/>
        <v>0</v>
      </c>
    </row>
    <row r="126" spans="1:11" ht="62.25" customHeight="1" thickBot="1">
      <c r="A126" s="7" t="s">
        <v>116</v>
      </c>
      <c r="B126" s="9" t="s">
        <v>24</v>
      </c>
      <c r="C126" s="37">
        <v>60</v>
      </c>
      <c r="D126" s="17">
        <v>60</v>
      </c>
      <c r="E126" s="17">
        <v>79.3</v>
      </c>
      <c r="F126" s="17">
        <f>E126*F128/100*F129/100</f>
        <v>78.79089400000001</v>
      </c>
      <c r="G126" s="17">
        <v>40</v>
      </c>
      <c r="H126" s="17">
        <f>F126*H128/100*H129/100</f>
        <v>80.10197447616001</v>
      </c>
      <c r="I126" s="17">
        <v>91</v>
      </c>
      <c r="J126" s="17">
        <f>H126*J128/100*J129/100</f>
        <v>81.58866712243754</v>
      </c>
      <c r="K126" s="17">
        <v>0</v>
      </c>
    </row>
    <row r="127" spans="1:11" ht="26.25" customHeight="1" thickBot="1">
      <c r="A127" s="7"/>
      <c r="B127" s="9"/>
      <c r="C127" s="84">
        <f aca="true" t="shared" si="13" ref="C127:K127">PRODUCT(C126,100/C129)</f>
        <v>56.232427366447986</v>
      </c>
      <c r="D127" s="84">
        <f t="shared" si="13"/>
        <v>57.25190839694657</v>
      </c>
      <c r="E127" s="84">
        <f>PRODUCT(E126,100/E129)</f>
        <v>76.0306807286673</v>
      </c>
      <c r="F127" s="84">
        <f t="shared" si="13"/>
        <v>74.542</v>
      </c>
      <c r="G127" s="84">
        <f t="shared" si="13"/>
        <v>38.05899143672693</v>
      </c>
      <c r="H127" s="84">
        <f t="shared" si="13"/>
        <v>75.63925824</v>
      </c>
      <c r="I127" s="84">
        <f t="shared" si="13"/>
        <v>86.41975308641975</v>
      </c>
      <c r="J127" s="84">
        <f t="shared" si="13"/>
        <v>76.89789549711361</v>
      </c>
      <c r="K127" s="84">
        <f t="shared" si="13"/>
        <v>0</v>
      </c>
    </row>
    <row r="128" spans="1:11" ht="52.5" customHeight="1" thickBot="1">
      <c r="A128" s="7" t="s">
        <v>117</v>
      </c>
      <c r="B128" s="9" t="s">
        <v>106</v>
      </c>
      <c r="C128" s="35">
        <v>76.9</v>
      </c>
      <c r="D128" s="35">
        <v>80.2</v>
      </c>
      <c r="E128" s="20">
        <v>119</v>
      </c>
      <c r="F128" s="20">
        <v>94</v>
      </c>
      <c r="G128" s="20">
        <v>80</v>
      </c>
      <c r="H128" s="20">
        <v>96</v>
      </c>
      <c r="I128" s="20">
        <v>95</v>
      </c>
      <c r="J128" s="20">
        <v>96</v>
      </c>
      <c r="K128" s="20">
        <v>94</v>
      </c>
    </row>
    <row r="129" spans="1:11" ht="39" thickBot="1">
      <c r="A129" s="7" t="s">
        <v>118</v>
      </c>
      <c r="B129" s="9" t="s">
        <v>89</v>
      </c>
      <c r="C129" s="18">
        <v>106.7</v>
      </c>
      <c r="D129" s="67">
        <v>104.8</v>
      </c>
      <c r="E129" s="54">
        <v>104.3</v>
      </c>
      <c r="F129" s="54">
        <v>105.7</v>
      </c>
      <c r="G129" s="54">
        <v>105.1</v>
      </c>
      <c r="H129" s="54">
        <v>105.9</v>
      </c>
      <c r="I129" s="54">
        <v>105.3</v>
      </c>
      <c r="J129" s="54">
        <v>106.1</v>
      </c>
      <c r="K129" s="54">
        <v>104.8</v>
      </c>
    </row>
    <row r="130" spans="1:11" ht="54" customHeight="1" thickBot="1">
      <c r="A130" s="7" t="s">
        <v>119</v>
      </c>
      <c r="B130" s="9"/>
      <c r="C130" s="18"/>
      <c r="D130" s="17"/>
      <c r="E130" s="17"/>
      <c r="F130" s="17"/>
      <c r="G130" s="17"/>
      <c r="H130" s="17"/>
      <c r="I130" s="17"/>
      <c r="J130" s="17"/>
      <c r="K130" s="17"/>
    </row>
    <row r="131" spans="1:11" ht="51.75" thickBot="1">
      <c r="A131" s="7" t="s">
        <v>120</v>
      </c>
      <c r="B131" s="9" t="s">
        <v>24</v>
      </c>
      <c r="C131" s="18">
        <v>20</v>
      </c>
      <c r="D131" s="35">
        <v>20</v>
      </c>
      <c r="E131" s="68">
        <v>31</v>
      </c>
      <c r="F131" s="68">
        <f aca="true" t="shared" si="14" ref="F131:K131">F134+F135+F136</f>
        <v>772.5</v>
      </c>
      <c r="G131" s="68">
        <v>18</v>
      </c>
      <c r="H131" s="68">
        <f t="shared" si="14"/>
        <v>803</v>
      </c>
      <c r="I131" s="68">
        <v>40</v>
      </c>
      <c r="J131" s="68">
        <f t="shared" si="14"/>
        <v>833.3</v>
      </c>
      <c r="K131" s="68">
        <v>0</v>
      </c>
    </row>
    <row r="132" spans="1:11" ht="63" customHeight="1" thickBot="1">
      <c r="A132" s="7"/>
      <c r="B132" s="9" t="s">
        <v>121</v>
      </c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5.75" thickBot="1">
      <c r="A133" s="7" t="s">
        <v>122</v>
      </c>
      <c r="B133" s="9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ht="40.5" customHeight="1" thickBot="1">
      <c r="A134" s="7" t="s">
        <v>123</v>
      </c>
      <c r="B134" s="9" t="s">
        <v>24</v>
      </c>
      <c r="C134" s="37">
        <v>0</v>
      </c>
      <c r="D134" s="37">
        <v>0</v>
      </c>
      <c r="E134" s="18">
        <v>0</v>
      </c>
      <c r="F134" s="17">
        <v>390</v>
      </c>
      <c r="G134" s="17">
        <v>0</v>
      </c>
      <c r="H134" s="17">
        <v>410</v>
      </c>
      <c r="I134" s="17">
        <v>0</v>
      </c>
      <c r="J134" s="17">
        <v>430</v>
      </c>
      <c r="K134" s="17">
        <v>0</v>
      </c>
    </row>
    <row r="135" spans="1:11" ht="39.75" customHeight="1" thickBot="1">
      <c r="A135" s="7" t="s">
        <v>124</v>
      </c>
      <c r="B135" s="9" t="s">
        <v>24</v>
      </c>
      <c r="C135" s="35">
        <v>0</v>
      </c>
      <c r="D135" s="37">
        <v>0</v>
      </c>
      <c r="E135" s="43">
        <v>0</v>
      </c>
      <c r="F135" s="18">
        <v>335</v>
      </c>
      <c r="G135" s="18">
        <v>0</v>
      </c>
      <c r="H135" s="17">
        <v>345</v>
      </c>
      <c r="I135" s="17">
        <v>0</v>
      </c>
      <c r="J135" s="17">
        <v>355</v>
      </c>
      <c r="K135" s="17">
        <v>0</v>
      </c>
    </row>
    <row r="136" spans="1:11" ht="52.5" customHeight="1" thickBot="1">
      <c r="A136" s="7" t="s">
        <v>125</v>
      </c>
      <c r="B136" s="9" t="s">
        <v>24</v>
      </c>
      <c r="C136" s="17">
        <v>0</v>
      </c>
      <c r="D136" s="18">
        <v>0</v>
      </c>
      <c r="E136" s="18">
        <v>0</v>
      </c>
      <c r="F136" s="18">
        <v>47.5</v>
      </c>
      <c r="G136" s="18">
        <v>0</v>
      </c>
      <c r="H136" s="17">
        <v>48</v>
      </c>
      <c r="I136" s="17">
        <v>0</v>
      </c>
      <c r="J136" s="17">
        <v>48.3</v>
      </c>
      <c r="K136" s="17">
        <v>0</v>
      </c>
    </row>
    <row r="137" spans="1:11" ht="52.5" customHeight="1" thickBot="1">
      <c r="A137" s="7"/>
      <c r="B137" s="9"/>
      <c r="C137" s="36">
        <f>C138*100/C126</f>
        <v>0</v>
      </c>
      <c r="D137" s="36">
        <f>D138*100/D126</f>
        <v>0</v>
      </c>
      <c r="E137" s="36">
        <f>E138*100/E126</f>
        <v>0</v>
      </c>
      <c r="F137" s="36">
        <f aca="true" t="shared" si="15" ref="F137:K137">F138*100/F126</f>
        <v>-880.4432476676809</v>
      </c>
      <c r="G137" s="36">
        <f t="shared" si="15"/>
        <v>0</v>
      </c>
      <c r="H137" s="36">
        <f t="shared" si="15"/>
        <v>-902.4721678227661</v>
      </c>
      <c r="I137" s="36">
        <f t="shared" si="15"/>
        <v>0</v>
      </c>
      <c r="J137" s="36">
        <f t="shared" si="15"/>
        <v>-921.3428278580564</v>
      </c>
      <c r="K137" s="36" t="e">
        <f t="shared" si="15"/>
        <v>#DIV/0!</v>
      </c>
    </row>
    <row r="138" spans="1:11" ht="57.75" customHeight="1" thickBot="1">
      <c r="A138" s="7" t="s">
        <v>126</v>
      </c>
      <c r="B138" s="9" t="s">
        <v>24</v>
      </c>
      <c r="C138" s="18">
        <v>0</v>
      </c>
      <c r="D138" s="35">
        <v>0</v>
      </c>
      <c r="E138" s="43">
        <v>0</v>
      </c>
      <c r="F138" s="17">
        <f aca="true" t="shared" si="16" ref="E138:K138">F126-F131</f>
        <v>-693.709106</v>
      </c>
      <c r="G138" s="17">
        <v>0</v>
      </c>
      <c r="H138" s="17">
        <f t="shared" si="16"/>
        <v>-722.89802552384</v>
      </c>
      <c r="I138" s="17">
        <v>0</v>
      </c>
      <c r="J138" s="17">
        <f t="shared" si="16"/>
        <v>-751.7113328775624</v>
      </c>
      <c r="K138" s="17">
        <f t="shared" si="16"/>
        <v>0</v>
      </c>
    </row>
    <row r="139" spans="1:11" s="71" customFormat="1" ht="57" customHeight="1" hidden="1" thickBot="1">
      <c r="A139" s="28" t="s">
        <v>127</v>
      </c>
      <c r="B139" s="29" t="s">
        <v>24</v>
      </c>
      <c r="C139" s="69">
        <v>672.144816</v>
      </c>
      <c r="D139" s="70">
        <f>C139*D140/100*D141/100</f>
        <v>734.5994368710143</v>
      </c>
      <c r="E139" s="70">
        <f>D139*E140/100*E141/100</f>
        <v>875.0666027917422</v>
      </c>
      <c r="F139" s="70">
        <f>E139*F140/100*F141/100</f>
        <v>848.2020580860357</v>
      </c>
      <c r="G139" s="70">
        <f>E139*G140/100*G141/100</f>
        <v>951.8711985187734</v>
      </c>
      <c r="H139" s="70">
        <f>F139*H140/100*H141/100</f>
        <v>841.993219020846</v>
      </c>
      <c r="I139" s="70">
        <f>G139*I140/100*I141/100</f>
        <v>1042.475058549783</v>
      </c>
      <c r="J139" s="70">
        <f>H139*J140/100*J141/100</f>
        <v>855.5829895758424</v>
      </c>
      <c r="K139" s="70">
        <f>I139*K140/100*K141/100</f>
        <v>1155.088426749623</v>
      </c>
    </row>
    <row r="140" spans="1:11" s="71" customFormat="1" ht="42.75" customHeight="1" hidden="1" thickBot="1">
      <c r="A140" s="28" t="s">
        <v>128</v>
      </c>
      <c r="B140" s="29" t="s">
        <v>10</v>
      </c>
      <c r="C140" s="69">
        <v>100.6</v>
      </c>
      <c r="D140" s="72">
        <v>100.6</v>
      </c>
      <c r="E140" s="73">
        <v>110.4</v>
      </c>
      <c r="F140" s="74">
        <v>90</v>
      </c>
      <c r="G140" s="74">
        <v>101</v>
      </c>
      <c r="H140" s="74">
        <v>92</v>
      </c>
      <c r="I140" s="74">
        <v>101.5</v>
      </c>
      <c r="J140" s="74">
        <v>94</v>
      </c>
      <c r="K140" s="74">
        <v>102.5</v>
      </c>
    </row>
    <row r="141" spans="1:11" s="71" customFormat="1" ht="40.5" customHeight="1" hidden="1" thickBot="1">
      <c r="A141" s="28" t="s">
        <v>118</v>
      </c>
      <c r="B141" s="29" t="s">
        <v>10</v>
      </c>
      <c r="C141" s="69">
        <v>108.64</v>
      </c>
      <c r="D141" s="73">
        <v>108.64</v>
      </c>
      <c r="E141" s="73">
        <v>107.9</v>
      </c>
      <c r="F141" s="73">
        <v>107.7</v>
      </c>
      <c r="G141" s="73">
        <v>107.7</v>
      </c>
      <c r="H141" s="73">
        <v>107.9</v>
      </c>
      <c r="I141" s="73">
        <v>107.9</v>
      </c>
      <c r="J141" s="73">
        <v>108.1</v>
      </c>
      <c r="K141" s="73">
        <v>108.1</v>
      </c>
    </row>
    <row r="142" spans="1:11" ht="76.5" customHeight="1" thickBot="1">
      <c r="A142" s="6" t="s">
        <v>129</v>
      </c>
      <c r="B142" s="9" t="s">
        <v>24</v>
      </c>
      <c r="C142" s="18">
        <v>0</v>
      </c>
      <c r="D142" s="37">
        <v>0</v>
      </c>
      <c r="E142" s="18">
        <v>0</v>
      </c>
      <c r="F142" s="18">
        <v>-210</v>
      </c>
      <c r="G142" s="18">
        <v>0</v>
      </c>
      <c r="H142" s="18">
        <v>-215</v>
      </c>
      <c r="I142" s="18">
        <v>0</v>
      </c>
      <c r="J142" s="18">
        <v>-220</v>
      </c>
      <c r="K142" s="18">
        <v>0</v>
      </c>
    </row>
    <row r="143" spans="1:11" ht="25.5" customHeight="1" thickBot="1">
      <c r="A143" s="6" t="s">
        <v>130</v>
      </c>
      <c r="B143" s="16"/>
      <c r="C143" s="36">
        <f aca="true" t="shared" si="17" ref="C143:K143">(C146/C13)*100</f>
        <v>38.02816901408451</v>
      </c>
      <c r="D143" s="36">
        <f t="shared" si="17"/>
        <v>37.15425897894592</v>
      </c>
      <c r="E143" s="36">
        <f t="shared" si="17"/>
        <v>33.23639385126714</v>
      </c>
      <c r="F143" s="36">
        <f t="shared" si="17"/>
        <v>60.043668122270745</v>
      </c>
      <c r="G143" s="36">
        <f t="shared" si="17"/>
        <v>31.988873435326838</v>
      </c>
      <c r="H143" s="36">
        <f t="shared" si="17"/>
        <v>58.758314855875824</v>
      </c>
      <c r="I143" s="36">
        <f t="shared" si="17"/>
        <v>30.59379780280907</v>
      </c>
      <c r="J143" s="36">
        <f t="shared" si="17"/>
        <v>58.42696629213483</v>
      </c>
      <c r="K143" s="36">
        <f t="shared" si="17"/>
        <v>29.944289693593312</v>
      </c>
    </row>
    <row r="144" spans="1:11" ht="25.5" customHeight="1" thickBot="1">
      <c r="A144" s="6"/>
      <c r="B144" s="16"/>
      <c r="C144" s="17">
        <f aca="true" t="shared" si="18" ref="C144:K144">((C123/(C13*1000))*100)</f>
        <v>0</v>
      </c>
      <c r="D144" s="17">
        <f t="shared" si="18"/>
        <v>0</v>
      </c>
      <c r="E144" s="17">
        <f t="shared" si="18"/>
        <v>0</v>
      </c>
      <c r="F144" s="17">
        <f t="shared" si="18"/>
        <v>0.6899563318777293</v>
      </c>
      <c r="G144" s="17">
        <f t="shared" si="18"/>
        <v>0</v>
      </c>
      <c r="H144" s="17">
        <f t="shared" si="18"/>
        <v>0.7006651884700665</v>
      </c>
      <c r="I144" s="17">
        <f t="shared" si="18"/>
        <v>0</v>
      </c>
      <c r="J144" s="17">
        <f t="shared" si="18"/>
        <v>0.7101123595505618</v>
      </c>
      <c r="K144" s="17">
        <f t="shared" si="18"/>
        <v>0</v>
      </c>
    </row>
    <row r="145" spans="1:11" ht="25.5" customHeight="1" thickBot="1">
      <c r="A145" s="6"/>
      <c r="B145" s="16"/>
      <c r="C145" s="17">
        <v>14.678097902097901</v>
      </c>
      <c r="D145" s="17">
        <f aca="true" t="shared" si="19" ref="D145:K145">D116*100/(D146*1000)</f>
        <v>37.03703703703704</v>
      </c>
      <c r="E145" s="17">
        <f t="shared" si="19"/>
        <v>45.833333333333336</v>
      </c>
      <c r="F145" s="17">
        <f t="shared" si="19"/>
        <v>1.7413672727272727</v>
      </c>
      <c r="G145" s="17">
        <f t="shared" si="19"/>
        <v>52.17391304347826</v>
      </c>
      <c r="H145" s="17">
        <f t="shared" si="19"/>
        <v>1.9322490566037738</v>
      </c>
      <c r="I145" s="17">
        <f t="shared" si="19"/>
        <v>59.09090909090909</v>
      </c>
      <c r="J145" s="17">
        <f t="shared" si="19"/>
        <v>2.047361538461539</v>
      </c>
      <c r="K145" s="17">
        <f t="shared" si="19"/>
        <v>65.11627906976744</v>
      </c>
    </row>
    <row r="146" spans="1:11" ht="40.5" customHeight="1" thickBot="1">
      <c r="A146" s="7" t="s">
        <v>131</v>
      </c>
      <c r="B146" s="9" t="s">
        <v>13</v>
      </c>
      <c r="C146" s="18">
        <v>2.7</v>
      </c>
      <c r="D146" s="18">
        <v>2.7</v>
      </c>
      <c r="E146" s="18">
        <v>2.4</v>
      </c>
      <c r="F146" s="18">
        <v>27.5</v>
      </c>
      <c r="G146" s="18">
        <v>2.3</v>
      </c>
      <c r="H146" s="18">
        <v>26.5</v>
      </c>
      <c r="I146" s="18">
        <v>2.2</v>
      </c>
      <c r="J146" s="18">
        <v>26</v>
      </c>
      <c r="K146" s="18">
        <v>2.15</v>
      </c>
    </row>
    <row r="147" spans="1:11" ht="50.25" customHeight="1" thickBot="1">
      <c r="A147" s="7" t="s">
        <v>132</v>
      </c>
      <c r="B147" s="9" t="s">
        <v>13</v>
      </c>
      <c r="C147" s="18">
        <v>0.2</v>
      </c>
      <c r="D147" s="17">
        <v>0.2</v>
      </c>
      <c r="E147" s="18">
        <v>0.2</v>
      </c>
      <c r="F147" s="18">
        <v>0.75</v>
      </c>
      <c r="G147" s="18">
        <v>0.2</v>
      </c>
      <c r="H147" s="18">
        <v>0.7</v>
      </c>
      <c r="I147" s="18">
        <v>0.2</v>
      </c>
      <c r="J147" s="18">
        <v>0.65</v>
      </c>
      <c r="K147" s="18">
        <v>0.2</v>
      </c>
    </row>
    <row r="148" spans="1:11" ht="31.5" customHeight="1" thickBot="1">
      <c r="A148" s="7" t="s">
        <v>133</v>
      </c>
      <c r="B148" s="9" t="s">
        <v>134</v>
      </c>
      <c r="C148" s="17">
        <v>8</v>
      </c>
      <c r="D148" s="17">
        <v>7.6</v>
      </c>
      <c r="E148" s="17">
        <v>7.6</v>
      </c>
      <c r="F148" s="17">
        <f>F147*100/F146</f>
        <v>2.727272727272727</v>
      </c>
      <c r="G148" s="17">
        <v>8</v>
      </c>
      <c r="H148" s="17">
        <f aca="true" t="shared" si="20" ref="D148:K148">H147*100/H146</f>
        <v>2.641509433962264</v>
      </c>
      <c r="I148" s="17">
        <v>9</v>
      </c>
      <c r="J148" s="17">
        <f t="shared" si="20"/>
        <v>2.5</v>
      </c>
      <c r="K148" s="17">
        <f t="shared" si="20"/>
        <v>9.30232558139535</v>
      </c>
    </row>
    <row r="149" spans="1:11" ht="34.5" customHeight="1" thickBot="1">
      <c r="A149" s="7" t="s">
        <v>135</v>
      </c>
      <c r="B149" s="9" t="s">
        <v>13</v>
      </c>
      <c r="C149" s="18"/>
      <c r="D149" s="37"/>
      <c r="E149" s="18"/>
      <c r="F149" s="18">
        <v>14.3</v>
      </c>
      <c r="G149" s="18"/>
      <c r="H149" s="18">
        <v>14.2</v>
      </c>
      <c r="I149" s="18"/>
      <c r="J149" s="18">
        <v>14.1</v>
      </c>
      <c r="K149" s="18"/>
    </row>
    <row r="150" spans="1:11" ht="36.75" customHeight="1" thickBot="1">
      <c r="A150" s="13" t="s">
        <v>166</v>
      </c>
      <c r="B150" s="9" t="s">
        <v>167</v>
      </c>
      <c r="C150" s="18">
        <v>33262</v>
      </c>
      <c r="D150" s="20">
        <v>36646</v>
      </c>
      <c r="E150" s="17">
        <f>D150+D150*7%</f>
        <v>39211.22</v>
      </c>
      <c r="F150" s="17">
        <f>E150+E150*8.16%</f>
        <v>42410.855552</v>
      </c>
      <c r="G150" s="17">
        <f>E150+E150*5.5%</f>
        <v>41367.837100000004</v>
      </c>
      <c r="H150" s="17">
        <f>F150+G150*8.16%</f>
        <v>45786.47105936</v>
      </c>
      <c r="I150" s="17">
        <f>G150+G150*6.5%</f>
        <v>44056.7465115</v>
      </c>
      <c r="J150" s="17">
        <f>H150+I150*7.42%</f>
        <v>49055.481650513306</v>
      </c>
      <c r="K150" s="17">
        <f>I150+I150*6.8%</f>
        <v>47052.605274282</v>
      </c>
    </row>
    <row r="151" spans="1:11" ht="32.25" customHeight="1" thickBot="1">
      <c r="A151" s="6" t="s">
        <v>136</v>
      </c>
      <c r="B151" s="16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ht="33.75" customHeight="1" thickBot="1">
      <c r="A152" s="7" t="s">
        <v>137</v>
      </c>
      <c r="B152" s="9" t="s">
        <v>9</v>
      </c>
      <c r="C152" s="18">
        <v>2612</v>
      </c>
      <c r="D152" s="18">
        <v>2573</v>
      </c>
      <c r="E152" s="18">
        <f>D152+102</f>
        <v>2675</v>
      </c>
      <c r="F152" s="18">
        <v>2668</v>
      </c>
      <c r="G152" s="18">
        <v>2733</v>
      </c>
      <c r="H152" s="18">
        <v>2737</v>
      </c>
      <c r="I152" s="18">
        <v>2745</v>
      </c>
      <c r="J152" s="18">
        <v>2831</v>
      </c>
      <c r="K152" s="18">
        <v>2750</v>
      </c>
    </row>
    <row r="153" spans="1:11" ht="30.75" customHeight="1" thickBot="1">
      <c r="A153" s="7" t="s">
        <v>138</v>
      </c>
      <c r="B153" s="9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 ht="23.25" customHeight="1" thickBot="1">
      <c r="A154" s="7" t="s">
        <v>139</v>
      </c>
      <c r="B154" s="9" t="s">
        <v>9</v>
      </c>
      <c r="C154" s="18">
        <v>450</v>
      </c>
      <c r="D154" s="18">
        <v>460</v>
      </c>
      <c r="E154" s="18">
        <v>480</v>
      </c>
      <c r="F154" s="18">
        <f>E154+75</f>
        <v>555</v>
      </c>
      <c r="G154" s="18">
        <v>500</v>
      </c>
      <c r="H154" s="18">
        <f>G154+72</f>
        <v>572</v>
      </c>
      <c r="I154" s="18">
        <v>500</v>
      </c>
      <c r="J154" s="18">
        <f>I154+66</f>
        <v>566</v>
      </c>
      <c r="K154" s="18">
        <v>500</v>
      </c>
    </row>
    <row r="155" spans="1:11" ht="20.25" customHeight="1" thickBot="1">
      <c r="A155" s="7" t="s">
        <v>140</v>
      </c>
      <c r="B155" s="9" t="s">
        <v>9</v>
      </c>
      <c r="C155" s="18"/>
      <c r="D155" s="18"/>
      <c r="E155" s="18"/>
      <c r="F155" s="18">
        <v>705</v>
      </c>
      <c r="G155" s="18"/>
      <c r="H155" s="18">
        <v>705</v>
      </c>
      <c r="I155" s="18"/>
      <c r="J155" s="18">
        <v>705</v>
      </c>
      <c r="K155" s="18"/>
    </row>
    <row r="156" spans="1:11" ht="22.5" customHeight="1" thickBot="1">
      <c r="A156" s="7" t="s">
        <v>141</v>
      </c>
      <c r="B156" s="9" t="s">
        <v>9</v>
      </c>
      <c r="C156" s="18"/>
      <c r="D156" s="18"/>
      <c r="E156" s="18"/>
      <c r="F156" s="18" t="s">
        <v>164</v>
      </c>
      <c r="G156" s="18"/>
      <c r="H156" s="18" t="s">
        <v>164</v>
      </c>
      <c r="I156" s="18"/>
      <c r="J156" s="18" t="s">
        <v>164</v>
      </c>
      <c r="K156" s="18"/>
    </row>
    <row r="157" spans="1:11" ht="24.75" customHeight="1" thickBot="1">
      <c r="A157" s="7" t="s">
        <v>142</v>
      </c>
      <c r="B157" s="9" t="s">
        <v>9</v>
      </c>
      <c r="C157" s="18"/>
      <c r="D157" s="18"/>
      <c r="E157" s="18"/>
      <c r="F157" s="18" t="s">
        <v>164</v>
      </c>
      <c r="G157" s="18"/>
      <c r="H157" s="18" t="s">
        <v>164</v>
      </c>
      <c r="I157" s="18"/>
      <c r="J157" s="18" t="s">
        <v>164</v>
      </c>
      <c r="K157" s="18"/>
    </row>
    <row r="158" spans="1:11" ht="32.25" customHeight="1" hidden="1" thickBot="1">
      <c r="A158" s="41" t="s">
        <v>143</v>
      </c>
      <c r="B158" s="30"/>
      <c r="C158" s="31"/>
      <c r="D158" s="32"/>
      <c r="E158" s="32"/>
      <c r="F158" s="32"/>
      <c r="G158" s="32"/>
      <c r="H158" s="32"/>
      <c r="I158" s="32"/>
      <c r="J158" s="32"/>
      <c r="K158" s="32"/>
    </row>
    <row r="159" spans="1:11" ht="33" customHeight="1" hidden="1" thickBot="1">
      <c r="A159" s="41" t="s">
        <v>170</v>
      </c>
      <c r="B159" s="33" t="s">
        <v>9</v>
      </c>
      <c r="C159" s="31">
        <v>24</v>
      </c>
      <c r="D159" s="31">
        <v>24</v>
      </c>
      <c r="E159" s="31">
        <v>24</v>
      </c>
      <c r="F159" s="31">
        <f>E159+1</f>
        <v>25</v>
      </c>
      <c r="G159" s="31">
        <f>F159+1</f>
        <v>26</v>
      </c>
      <c r="H159" s="31">
        <v>26</v>
      </c>
      <c r="I159" s="31">
        <v>27</v>
      </c>
      <c r="J159" s="31">
        <v>26</v>
      </c>
      <c r="K159" s="31">
        <v>27</v>
      </c>
    </row>
    <row r="160" spans="1:11" ht="29.25" customHeight="1" hidden="1" thickBot="1">
      <c r="A160" s="41" t="s">
        <v>171</v>
      </c>
      <c r="B160" s="33" t="s">
        <v>9</v>
      </c>
      <c r="C160" s="31">
        <v>18</v>
      </c>
      <c r="D160" s="31">
        <v>18</v>
      </c>
      <c r="E160" s="31">
        <v>17</v>
      </c>
      <c r="F160" s="31">
        <f>E160+1</f>
        <v>18</v>
      </c>
      <c r="G160" s="31">
        <f>F160+1</f>
        <v>19</v>
      </c>
      <c r="H160" s="31">
        <v>19</v>
      </c>
      <c r="I160" s="31">
        <v>20</v>
      </c>
      <c r="J160" s="31">
        <v>19</v>
      </c>
      <c r="K160" s="31">
        <v>20</v>
      </c>
    </row>
    <row r="161" spans="1:11" ht="15" customHeight="1" hidden="1" thickBot="1">
      <c r="A161" s="41" t="s">
        <v>144</v>
      </c>
      <c r="B161" s="33" t="s">
        <v>9</v>
      </c>
      <c r="C161" s="31">
        <v>10</v>
      </c>
      <c r="D161" s="31">
        <v>10</v>
      </c>
      <c r="E161" s="31">
        <v>10</v>
      </c>
      <c r="F161" s="31">
        <v>11</v>
      </c>
      <c r="G161" s="31">
        <f>F161+1</f>
        <v>12</v>
      </c>
      <c r="H161" s="31">
        <v>12</v>
      </c>
      <c r="I161" s="31">
        <v>13</v>
      </c>
      <c r="J161" s="31">
        <v>12</v>
      </c>
      <c r="K161" s="31">
        <v>13</v>
      </c>
    </row>
    <row r="162" spans="1:11" ht="21" customHeight="1" thickBot="1">
      <c r="A162" s="7" t="s">
        <v>145</v>
      </c>
      <c r="B162" s="16"/>
      <c r="C162" s="88">
        <f>C182/C164</f>
        <v>0.029832935560859187</v>
      </c>
      <c r="D162" s="88">
        <f aca="true" t="shared" si="21" ref="D162:K162">D182/D164</f>
        <v>0.03089838639337113</v>
      </c>
      <c r="E162" s="88">
        <f t="shared" si="21"/>
        <v>0.02903016904490744</v>
      </c>
      <c r="F162" s="88">
        <f t="shared" si="21"/>
        <v>0.028096642723649545</v>
      </c>
      <c r="G162" s="88">
        <f t="shared" si="21"/>
        <v>0.054040665600864644</v>
      </c>
      <c r="H162" s="88">
        <f t="shared" si="21"/>
        <v>0.028205528658441358</v>
      </c>
      <c r="I162" s="88">
        <f t="shared" si="21"/>
        <v>0.05354632872983646</v>
      </c>
      <c r="J162" s="88">
        <f t="shared" si="21"/>
        <v>0.7025651465798046</v>
      </c>
      <c r="K162" s="88">
        <f t="shared" si="21"/>
        <v>0.052897225099733304</v>
      </c>
    </row>
    <row r="163" spans="1:11" ht="21" customHeight="1" hidden="1" thickBot="1">
      <c r="A163" s="7"/>
      <c r="B163" s="16"/>
      <c r="C163" s="42">
        <f aca="true" t="shared" si="22" ref="C163:K163">(C119)/(C164*10)</f>
        <v>0.06392771905898398</v>
      </c>
      <c r="D163" s="42">
        <f t="shared" si="22"/>
        <v>0.06541648495420846</v>
      </c>
      <c r="E163" s="42">
        <f t="shared" si="22"/>
        <v>0.08932359706125366</v>
      </c>
      <c r="F163" s="42">
        <f t="shared" si="22"/>
        <v>0.11258472000180135</v>
      </c>
      <c r="G163" s="42">
        <f t="shared" si="22"/>
        <v>0.09006777600144109</v>
      </c>
      <c r="H163" s="42">
        <f t="shared" si="22"/>
        <v>0.11155485152049263</v>
      </c>
      <c r="I163" s="42">
        <f t="shared" si="22"/>
        <v>0.10039936636844336</v>
      </c>
      <c r="J163" s="42">
        <f t="shared" si="22"/>
        <v>1.2441187115454218</v>
      </c>
      <c r="K163" s="42">
        <f t="shared" si="22"/>
        <v>0.11020255229111105</v>
      </c>
    </row>
    <row r="164" spans="1:11" ht="21" customHeight="1" hidden="1" thickBot="1">
      <c r="A164" s="7" t="s">
        <v>172</v>
      </c>
      <c r="B164" s="16"/>
      <c r="C164" s="19">
        <v>46.928</v>
      </c>
      <c r="D164" s="89">
        <v>45.86</v>
      </c>
      <c r="E164" s="89">
        <v>44.781</v>
      </c>
      <c r="F164" s="89">
        <v>44.411</v>
      </c>
      <c r="G164" s="89">
        <v>44.411</v>
      </c>
      <c r="H164" s="89">
        <v>44.821</v>
      </c>
      <c r="I164" s="89">
        <v>44.821</v>
      </c>
      <c r="J164" s="89">
        <v>4.4208</v>
      </c>
      <c r="K164" s="89">
        <v>45.371</v>
      </c>
    </row>
    <row r="165" spans="1:11" ht="21" customHeight="1" hidden="1" thickBot="1">
      <c r="A165" s="7" t="s">
        <v>173</v>
      </c>
      <c r="B165" s="16"/>
      <c r="C165" s="19"/>
      <c r="D165" s="19">
        <f>64+340</f>
        <v>404</v>
      </c>
      <c r="E165" s="19">
        <f>64+330</f>
        <v>394</v>
      </c>
      <c r="F165" s="19">
        <f>64+320</f>
        <v>384</v>
      </c>
      <c r="G165" s="19">
        <f>64+330</f>
        <v>394</v>
      </c>
      <c r="H165" s="19">
        <f>64+310</f>
        <v>374</v>
      </c>
      <c r="I165" s="19">
        <f>64+320</f>
        <v>384</v>
      </c>
      <c r="J165" s="19">
        <f>64+300</f>
        <v>364</v>
      </c>
      <c r="K165" s="19">
        <f>64+310</f>
        <v>374</v>
      </c>
    </row>
    <row r="166" spans="1:11" ht="21" customHeight="1" hidden="1" thickBot="1">
      <c r="A166" s="7" t="s">
        <v>174</v>
      </c>
      <c r="B166" s="16"/>
      <c r="C166" s="19"/>
      <c r="D166" s="19">
        <f>52+139</f>
        <v>191</v>
      </c>
      <c r="E166" s="19">
        <f>53+147-6</f>
        <v>194</v>
      </c>
      <c r="F166" s="19">
        <f>53+153-6</f>
        <v>200</v>
      </c>
      <c r="G166" s="19">
        <v>201</v>
      </c>
      <c r="H166" s="19">
        <v>206</v>
      </c>
      <c r="I166" s="19">
        <v>207</v>
      </c>
      <c r="J166" s="19">
        <v>212</v>
      </c>
      <c r="K166" s="19">
        <v>214</v>
      </c>
    </row>
    <row r="167" spans="1:11" ht="21" customHeight="1" hidden="1" thickBot="1">
      <c r="A167" s="7" t="s">
        <v>175</v>
      </c>
      <c r="B167" s="16"/>
      <c r="C167" s="19">
        <v>519</v>
      </c>
      <c r="D167" s="19">
        <f>1040+479+112.21</f>
        <v>1631.21</v>
      </c>
      <c r="E167" s="19">
        <f aca="true" t="shared" si="23" ref="E167:K167">1040+479+112.21</f>
        <v>1631.21</v>
      </c>
      <c r="F167" s="19">
        <f t="shared" si="23"/>
        <v>1631.21</v>
      </c>
      <c r="G167" s="19">
        <f t="shared" si="23"/>
        <v>1631.21</v>
      </c>
      <c r="H167" s="19">
        <f t="shared" si="23"/>
        <v>1631.21</v>
      </c>
      <c r="I167" s="19">
        <f t="shared" si="23"/>
        <v>1631.21</v>
      </c>
      <c r="J167" s="19">
        <f t="shared" si="23"/>
        <v>1631.21</v>
      </c>
      <c r="K167" s="19">
        <f t="shared" si="23"/>
        <v>1631.21</v>
      </c>
    </row>
    <row r="168" spans="1:11" ht="21" customHeight="1" hidden="1" thickBot="1">
      <c r="A168" s="7" t="s">
        <v>176</v>
      </c>
      <c r="B168" s="16"/>
      <c r="C168" s="19"/>
      <c r="D168" s="19">
        <v>707</v>
      </c>
      <c r="E168" s="19">
        <v>710</v>
      </c>
      <c r="F168" s="19">
        <v>710</v>
      </c>
      <c r="G168" s="19">
        <v>715</v>
      </c>
      <c r="H168" s="19">
        <v>715</v>
      </c>
      <c r="I168" s="19">
        <v>720</v>
      </c>
      <c r="J168" s="19">
        <v>720</v>
      </c>
      <c r="K168" s="19">
        <v>725</v>
      </c>
    </row>
    <row r="169" spans="1:11" ht="21" customHeight="1" hidden="1" thickBot="1">
      <c r="A169" s="7" t="s">
        <v>177</v>
      </c>
      <c r="B169" s="16"/>
      <c r="C169" s="19"/>
      <c r="D169" s="19">
        <v>12</v>
      </c>
      <c r="E169" s="19">
        <v>11</v>
      </c>
      <c r="F169" s="19">
        <v>11</v>
      </c>
      <c r="G169" s="19">
        <v>11</v>
      </c>
      <c r="H169" s="19">
        <v>11</v>
      </c>
      <c r="I169" s="19">
        <v>11</v>
      </c>
      <c r="J169" s="19">
        <v>11</v>
      </c>
      <c r="K169" s="19">
        <v>11</v>
      </c>
    </row>
    <row r="170" spans="1:11" ht="21" customHeight="1" hidden="1" thickBot="1">
      <c r="A170" s="7" t="s">
        <v>178</v>
      </c>
      <c r="B170" s="16"/>
      <c r="C170" s="19"/>
      <c r="D170" s="19">
        <v>10</v>
      </c>
      <c r="E170" s="19">
        <v>10</v>
      </c>
      <c r="F170" s="19">
        <v>10</v>
      </c>
      <c r="G170" s="19">
        <v>10</v>
      </c>
      <c r="H170" s="19">
        <v>10</v>
      </c>
      <c r="I170" s="19">
        <v>10</v>
      </c>
      <c r="J170" s="19">
        <v>10</v>
      </c>
      <c r="K170" s="19">
        <v>10</v>
      </c>
    </row>
    <row r="171" spans="1:11" ht="21" customHeight="1" hidden="1" thickBot="1">
      <c r="A171" s="7" t="s">
        <v>179</v>
      </c>
      <c r="B171" s="16"/>
      <c r="C171" s="19">
        <v>1356219.2</v>
      </c>
      <c r="D171" s="75">
        <v>1310800</v>
      </c>
      <c r="E171" s="75">
        <f>D171-750.2-3261.2+2343.94+2337.2+1906.1</f>
        <v>1313375.84</v>
      </c>
      <c r="F171" s="19">
        <f>1359600.27+1247.8-2000</f>
        <v>1358848.07</v>
      </c>
      <c r="G171" s="75">
        <f>E171-872.7+1207.5-8816.8-658.7+8816.8</f>
        <v>1313051.9400000002</v>
      </c>
      <c r="H171" s="19">
        <f>1358848.07-1576.1+1264.2</f>
        <v>1358536.17</v>
      </c>
      <c r="I171" s="75">
        <f>G171+2200-807.5-5119.5+5119.5+1673.2</f>
        <v>1316117.6400000001</v>
      </c>
      <c r="J171" s="19">
        <f>1360292.47+3105.9-4428.5</f>
        <v>1358969.8699999999</v>
      </c>
      <c r="K171" s="75">
        <f>I171-2230.5-7030.7+7030.7</f>
        <v>1313887.1400000001</v>
      </c>
    </row>
    <row r="172" spans="1:11" ht="21" customHeight="1" hidden="1" thickBot="1">
      <c r="A172" s="7" t="s">
        <v>180</v>
      </c>
      <c r="B172" s="16"/>
      <c r="C172" s="19"/>
      <c r="D172" s="75">
        <v>98600</v>
      </c>
      <c r="E172" s="75">
        <f>D172+1644.9-3261.2-750.2</f>
        <v>96233.5</v>
      </c>
      <c r="F172" s="19">
        <f>98772.44-2000</f>
        <v>96772.44</v>
      </c>
      <c r="G172" s="75">
        <f>E172+1700-872.7-8816.8-658.7</f>
        <v>87585.3</v>
      </c>
      <c r="H172" s="19">
        <f>96772.44-1576.1</f>
        <v>95196.34</v>
      </c>
      <c r="I172" s="75">
        <f>G172+1700-807.5-5119.5</f>
        <v>83358.3</v>
      </c>
      <c r="J172" s="19">
        <f>95196.34-4428.5</f>
        <v>90767.84</v>
      </c>
      <c r="K172" s="75">
        <f>I172+1700-2230.5-7030.7</f>
        <v>75797.1</v>
      </c>
    </row>
    <row r="173" spans="1:11" ht="31.5" customHeight="1" hidden="1" thickBot="1">
      <c r="A173" s="41" t="s">
        <v>146</v>
      </c>
      <c r="B173" s="33" t="s">
        <v>147</v>
      </c>
      <c r="C173" s="31">
        <v>86.1</v>
      </c>
      <c r="D173" s="76">
        <v>86.1</v>
      </c>
      <c r="E173" s="76">
        <f>E165/D164</f>
        <v>8.591365023986045</v>
      </c>
      <c r="F173" s="76">
        <f aca="true" t="shared" si="24" ref="F173:K173">F165/F164</f>
        <v>8.646506496138343</v>
      </c>
      <c r="G173" s="76">
        <f t="shared" si="24"/>
        <v>8.871675936141946</v>
      </c>
      <c r="H173" s="76">
        <f t="shared" si="24"/>
        <v>8.344302893732849</v>
      </c>
      <c r="I173" s="76">
        <f t="shared" si="24"/>
        <v>8.567412596773835</v>
      </c>
      <c r="J173" s="76">
        <f>J165/J164</f>
        <v>82.338038364097</v>
      </c>
      <c r="K173" s="76">
        <f t="shared" si="24"/>
        <v>8.243150911375107</v>
      </c>
    </row>
    <row r="174" spans="1:11" ht="50.25" customHeight="1" hidden="1" thickBot="1">
      <c r="A174" s="41" t="s">
        <v>148</v>
      </c>
      <c r="B174" s="33" t="s">
        <v>149</v>
      </c>
      <c r="C174" s="31">
        <v>347.6</v>
      </c>
      <c r="D174" s="76">
        <v>347.6</v>
      </c>
      <c r="E174" s="76">
        <f>E167/D164</f>
        <v>35.56934147405146</v>
      </c>
      <c r="F174" s="76">
        <f aca="true" t="shared" si="25" ref="F174:K174">F167/F164</f>
        <v>36.72986422282768</v>
      </c>
      <c r="G174" s="76">
        <f t="shared" si="25"/>
        <v>36.72986422282768</v>
      </c>
      <c r="H174" s="76">
        <f t="shared" si="25"/>
        <v>36.39387786974856</v>
      </c>
      <c r="I174" s="76">
        <f t="shared" si="25"/>
        <v>36.39387786974856</v>
      </c>
      <c r="J174" s="76">
        <f t="shared" si="25"/>
        <v>368.98525153818315</v>
      </c>
      <c r="K174" s="76">
        <f t="shared" si="25"/>
        <v>35.952701064556656</v>
      </c>
    </row>
    <row r="175" spans="1:11" ht="39" hidden="1" thickBot="1">
      <c r="A175" s="41" t="s">
        <v>150</v>
      </c>
      <c r="B175" s="33" t="s">
        <v>151</v>
      </c>
      <c r="C175" s="31">
        <v>39.4</v>
      </c>
      <c r="D175" s="76">
        <v>39.4</v>
      </c>
      <c r="E175" s="76">
        <f>E166/D164</f>
        <v>4.230266027038814</v>
      </c>
      <c r="F175" s="76">
        <f aca="true" t="shared" si="26" ref="F175:K175">F166/F164</f>
        <v>4.503388800072054</v>
      </c>
      <c r="G175" s="76">
        <f t="shared" si="26"/>
        <v>4.525905744072414</v>
      </c>
      <c r="H175" s="76">
        <f t="shared" si="26"/>
        <v>4.596059882644297</v>
      </c>
      <c r="I175" s="76">
        <f t="shared" si="26"/>
        <v>4.618370852948395</v>
      </c>
      <c r="J175" s="76">
        <f t="shared" si="26"/>
        <v>47.95512124502353</v>
      </c>
      <c r="K175" s="76">
        <f t="shared" si="26"/>
        <v>4.716669238059553</v>
      </c>
    </row>
    <row r="176" spans="1:11" ht="40.5" customHeight="1" hidden="1" thickBot="1">
      <c r="A176" s="41" t="s">
        <v>152</v>
      </c>
      <c r="B176" s="33" t="s">
        <v>151</v>
      </c>
      <c r="C176" s="31">
        <v>150.7</v>
      </c>
      <c r="D176" s="76">
        <v>150.7</v>
      </c>
      <c r="E176" s="76">
        <f>E168/D164</f>
        <v>15.48190143916267</v>
      </c>
      <c r="F176" s="76">
        <f aca="true" t="shared" si="27" ref="F176:K176">F168/F164</f>
        <v>15.987030240255791</v>
      </c>
      <c r="G176" s="76">
        <f t="shared" si="27"/>
        <v>16.099614960257593</v>
      </c>
      <c r="H176" s="76">
        <f t="shared" si="27"/>
        <v>15.952343767430447</v>
      </c>
      <c r="I176" s="76">
        <f t="shared" si="27"/>
        <v>16.06389861895094</v>
      </c>
      <c r="J176" s="76">
        <f t="shared" si="27"/>
        <v>162.86644951140065</v>
      </c>
      <c r="K176" s="76">
        <f t="shared" si="27"/>
        <v>15.979370082211103</v>
      </c>
    </row>
    <row r="177" spans="1:11" ht="12.75" customHeight="1" hidden="1">
      <c r="A177" s="91" t="s">
        <v>153</v>
      </c>
      <c r="B177" s="34" t="s">
        <v>154</v>
      </c>
      <c r="C177" s="90">
        <v>25.571087623593588</v>
      </c>
      <c r="D177" s="90">
        <f>(D169/(C164*10000)*100000)</f>
        <v>2.557108762359359</v>
      </c>
      <c r="E177" s="90">
        <f>(E169/(D164*10000)*100000)</f>
        <v>2.398604448320977</v>
      </c>
      <c r="F177" s="90">
        <f aca="true" t="shared" si="28" ref="F177:K177">(F169/(F164*10000)*100000)</f>
        <v>2.4768638400396297</v>
      </c>
      <c r="G177" s="90">
        <f t="shared" si="28"/>
        <v>2.4768638400396297</v>
      </c>
      <c r="H177" s="90">
        <f t="shared" si="28"/>
        <v>2.454206733450838</v>
      </c>
      <c r="I177" s="90">
        <f t="shared" si="28"/>
        <v>2.454206733450838</v>
      </c>
      <c r="J177" s="90">
        <f t="shared" si="28"/>
        <v>24.882374230908432</v>
      </c>
      <c r="K177" s="90">
        <f t="shared" si="28"/>
        <v>2.4244561504044433</v>
      </c>
    </row>
    <row r="178" spans="1:11" ht="26.25" hidden="1" thickBot="1">
      <c r="A178" s="92"/>
      <c r="B178" s="33" t="s">
        <v>155</v>
      </c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1:11" ht="30" customHeight="1" hidden="1">
      <c r="A179" s="91" t="s">
        <v>156</v>
      </c>
      <c r="B179" s="34" t="s">
        <v>154</v>
      </c>
      <c r="C179" s="90">
        <v>21.30923968632799</v>
      </c>
      <c r="D179" s="90">
        <f>(D170/(C164*10000)*100000)</f>
        <v>2.130923968632799</v>
      </c>
      <c r="E179" s="90">
        <f>(E170/(D164*10000)*100000)</f>
        <v>2.1805494984736153</v>
      </c>
      <c r="F179" s="90">
        <f aca="true" t="shared" si="29" ref="F179:K179">(F170/(F164*10000)*100000)</f>
        <v>2.251694400036027</v>
      </c>
      <c r="G179" s="90">
        <f t="shared" si="29"/>
        <v>2.251694400036027</v>
      </c>
      <c r="H179" s="90">
        <f t="shared" si="29"/>
        <v>2.2310970304098525</v>
      </c>
      <c r="I179" s="90">
        <f t="shared" si="29"/>
        <v>2.2310970304098525</v>
      </c>
      <c r="J179" s="90">
        <f t="shared" si="29"/>
        <v>22.620340209916755</v>
      </c>
      <c r="K179" s="90">
        <f t="shared" si="29"/>
        <v>2.2040510458222213</v>
      </c>
    </row>
    <row r="180" spans="1:11" ht="29.25" customHeight="1" hidden="1" thickBot="1">
      <c r="A180" s="92"/>
      <c r="B180" s="33" t="s">
        <v>155</v>
      </c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1:11" s="40" customFormat="1" ht="45" customHeight="1" thickBot="1">
      <c r="A181" s="38" t="s">
        <v>157</v>
      </c>
      <c r="B181" s="39" t="s">
        <v>9</v>
      </c>
      <c r="C181" s="77">
        <v>298</v>
      </c>
      <c r="D181" s="78">
        <v>300</v>
      </c>
      <c r="E181" s="79">
        <v>301</v>
      </c>
      <c r="F181" s="79">
        <v>97</v>
      </c>
      <c r="G181" s="79">
        <v>305</v>
      </c>
      <c r="H181" s="79">
        <v>100</v>
      </c>
      <c r="I181" s="79">
        <v>310</v>
      </c>
      <c r="J181" s="79">
        <v>100</v>
      </c>
      <c r="K181" s="79">
        <v>315</v>
      </c>
    </row>
    <row r="182" spans="1:11" ht="46.5" customHeight="1" thickBot="1">
      <c r="A182" s="7" t="s">
        <v>158</v>
      </c>
      <c r="B182" s="9" t="s">
        <v>168</v>
      </c>
      <c r="C182" s="17">
        <v>1.4</v>
      </c>
      <c r="D182" s="17">
        <v>1.417</v>
      </c>
      <c r="E182" s="17">
        <v>1.3</v>
      </c>
      <c r="F182" s="17">
        <f>1.2478</f>
        <v>1.2478</v>
      </c>
      <c r="G182" s="17">
        <v>2.4</v>
      </c>
      <c r="H182" s="17">
        <f>1.2642</f>
        <v>1.2642</v>
      </c>
      <c r="I182" s="17">
        <v>2.4</v>
      </c>
      <c r="J182" s="17">
        <v>3.1059</v>
      </c>
      <c r="K182" s="17">
        <v>2.4</v>
      </c>
    </row>
    <row r="183" spans="1:11" ht="43.5" customHeight="1" thickBot="1">
      <c r="A183" s="7" t="s">
        <v>159</v>
      </c>
      <c r="B183" s="9" t="s">
        <v>160</v>
      </c>
      <c r="C183" s="17">
        <v>23</v>
      </c>
      <c r="D183" s="17">
        <v>23</v>
      </c>
      <c r="E183" s="17">
        <v>23</v>
      </c>
      <c r="F183" s="17">
        <f aca="true" t="shared" si="30" ref="F183:K183">F171/(F164*1000)</f>
        <v>30.597105897187635</v>
      </c>
      <c r="G183" s="17">
        <v>23</v>
      </c>
      <c r="H183" s="17">
        <f t="shared" si="30"/>
        <v>30.310260145913745</v>
      </c>
      <c r="I183" s="17">
        <v>23</v>
      </c>
      <c r="J183" s="17">
        <f t="shared" si="30"/>
        <v>307.40360794426346</v>
      </c>
      <c r="K183" s="17">
        <v>23</v>
      </c>
    </row>
    <row r="184" spans="1:11" ht="40.5" customHeight="1" thickBot="1">
      <c r="A184" s="7" t="s">
        <v>161</v>
      </c>
      <c r="B184" s="9" t="s">
        <v>134</v>
      </c>
      <c r="C184" s="18">
        <v>20</v>
      </c>
      <c r="D184" s="17">
        <v>29</v>
      </c>
      <c r="E184" s="17">
        <v>20</v>
      </c>
      <c r="F184" s="17">
        <f aca="true" t="shared" si="31" ref="E184:K184">F172*100/F171</f>
        <v>7.121652680420703</v>
      </c>
      <c r="G184" s="17">
        <v>18</v>
      </c>
      <c r="H184" s="17">
        <f t="shared" si="31"/>
        <v>7.007273129871839</v>
      </c>
      <c r="I184" s="17">
        <v>15</v>
      </c>
      <c r="J184" s="17">
        <f t="shared" si="31"/>
        <v>6.679165006064484</v>
      </c>
      <c r="K184" s="17">
        <v>12</v>
      </c>
    </row>
    <row r="185" spans="1:11" ht="36.75" customHeight="1" thickBot="1">
      <c r="A185" s="7" t="s">
        <v>162</v>
      </c>
      <c r="B185" s="9" t="s">
        <v>134</v>
      </c>
      <c r="C185" s="18">
        <v>90</v>
      </c>
      <c r="D185" s="18">
        <v>85</v>
      </c>
      <c r="E185" s="18">
        <v>85</v>
      </c>
      <c r="F185" s="18">
        <v>93.8</v>
      </c>
      <c r="G185" s="18">
        <v>87</v>
      </c>
      <c r="H185" s="18">
        <v>94</v>
      </c>
      <c r="I185" s="18">
        <v>90</v>
      </c>
      <c r="J185" s="18">
        <v>94.5</v>
      </c>
      <c r="K185" s="18">
        <v>95</v>
      </c>
    </row>
    <row r="186" spans="1:11" s="80" customFormat="1" ht="54" customHeight="1" hidden="1" thickBot="1">
      <c r="A186" s="41" t="s">
        <v>163</v>
      </c>
      <c r="B186" s="33" t="s">
        <v>109</v>
      </c>
      <c r="C186" s="31">
        <v>5374</v>
      </c>
      <c r="D186" s="31">
        <v>5374</v>
      </c>
      <c r="E186" s="76">
        <v>6200</v>
      </c>
      <c r="F186" s="76">
        <v>6200</v>
      </c>
      <c r="G186" s="76">
        <v>6200</v>
      </c>
      <c r="H186" s="76">
        <v>6200</v>
      </c>
      <c r="I186" s="76">
        <v>6200</v>
      </c>
      <c r="J186" s="76">
        <v>6200</v>
      </c>
      <c r="K186" s="76">
        <v>6200</v>
      </c>
    </row>
    <row r="189" ht="12.75">
      <c r="A189" s="81"/>
    </row>
    <row r="190" ht="22.5">
      <c r="A190" s="8"/>
    </row>
  </sheetData>
  <sheetProtection/>
  <mergeCells count="55">
    <mergeCell ref="C179:C180"/>
    <mergeCell ref="D179:D180"/>
    <mergeCell ref="E179:E180"/>
    <mergeCell ref="F179:F180"/>
    <mergeCell ref="I179:I180"/>
    <mergeCell ref="A2:K2"/>
    <mergeCell ref="A3:J3"/>
    <mergeCell ref="J179:J180"/>
    <mergeCell ref="K179:K180"/>
    <mergeCell ref="J177:J178"/>
    <mergeCell ref="D47:D48"/>
    <mergeCell ref="E47:E48"/>
    <mergeCell ref="A56:A57"/>
    <mergeCell ref="C56:C57"/>
    <mergeCell ref="A54:A55"/>
    <mergeCell ref="F47:F48"/>
    <mergeCell ref="E13:E14"/>
    <mergeCell ref="G47:G48"/>
    <mergeCell ref="F13:F14"/>
    <mergeCell ref="G13:G14"/>
    <mergeCell ref="A51:A52"/>
    <mergeCell ref="J13:J14"/>
    <mergeCell ref="K13:K14"/>
    <mergeCell ref="A47:A48"/>
    <mergeCell ref="C47:C48"/>
    <mergeCell ref="A13:A14"/>
    <mergeCell ref="C13:C14"/>
    <mergeCell ref="D13:D14"/>
    <mergeCell ref="J47:J48"/>
    <mergeCell ref="H47:H48"/>
    <mergeCell ref="D177:D178"/>
    <mergeCell ref="C5:D6"/>
    <mergeCell ref="E5:E6"/>
    <mergeCell ref="C177:C178"/>
    <mergeCell ref="J7:K7"/>
    <mergeCell ref="K47:K48"/>
    <mergeCell ref="I47:I48"/>
    <mergeCell ref="H13:H14"/>
    <mergeCell ref="I13:I14"/>
    <mergeCell ref="F5:K6"/>
    <mergeCell ref="C7:C8"/>
    <mergeCell ref="D7:D8"/>
    <mergeCell ref="E7:E8"/>
    <mergeCell ref="F7:G7"/>
    <mergeCell ref="H7:I7"/>
    <mergeCell ref="K177:K178"/>
    <mergeCell ref="I177:I178"/>
    <mergeCell ref="H177:H178"/>
    <mergeCell ref="G177:G178"/>
    <mergeCell ref="A177:A178"/>
    <mergeCell ref="H179:H180"/>
    <mergeCell ref="G179:G180"/>
    <mergeCell ref="A179:A180"/>
    <mergeCell ref="F177:F178"/>
    <mergeCell ref="E177:E178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E30:K31 E129:K129 D96 E85:K85 E41:K41 E44:K44 D51:K51 F50:K50 D56:K56 F54:K54 D81:K81 D66:K66 D72:K72 F71:K71 D75:K75 E33:K34 D98:K99 E103:K104 E106:K107 D109:K110 F140:K140 E95:K96 E113:K113">
      <formula1>0</formula1>
      <formula2>9.99999999999999E+132</formula2>
    </dataValidation>
  </dataValidations>
  <hyperlinks>
    <hyperlink ref="C5" r:id="rId1" display="_edn1"/>
  </hyperlinks>
  <printOptions/>
  <pageMargins left="0.7874015748031497" right="0.7874015748031497" top="0.3937007874015748" bottom="0.3937007874015748" header="0.11811023622047245" footer="0.11811023622047245"/>
  <pageSetup horizontalDpi="600" verticalDpi="600" orientation="portrait" paperSize="9" scale="54" r:id="rId2"/>
  <rowBreaks count="3" manualBreakCount="3">
    <brk id="30" max="255" man="1"/>
    <brk id="44" max="255" man="1"/>
    <brk id="1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</cp:lastModifiedBy>
  <cp:lastPrinted>2014-11-17T06:31:58Z</cp:lastPrinted>
  <dcterms:created xsi:type="dcterms:W3CDTF">2010-09-04T12:07:10Z</dcterms:created>
  <dcterms:modified xsi:type="dcterms:W3CDTF">2014-11-17T06:33:36Z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